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ічень" sheetId="1" r:id="rId4"/>
    <sheet state="visible" name="лютий" sheetId="2" r:id="rId5"/>
    <sheet state="visible" name="березень" sheetId="3" r:id="rId6"/>
    <sheet state="visible" name="квітень" sheetId="4" r:id="rId7"/>
    <sheet state="visible" name="травень" sheetId="5" r:id="rId8"/>
    <sheet state="visible" name="червень" sheetId="6" r:id="rId9"/>
    <sheet state="visible" name="липень" sheetId="7" r:id="rId10"/>
    <sheet state="visible" name="серпень" sheetId="8" r:id="rId11"/>
    <sheet state="visible" name="вересень" sheetId="9" r:id="rId12"/>
    <sheet state="visible" name="жовтень" sheetId="10" r:id="rId13"/>
    <sheet state="visible" name="листопад" sheetId="11" r:id="rId14"/>
    <sheet state="visible" name="грудень" sheetId="12" r:id="rId15"/>
    <sheet state="visible" name="summary" sheetId="13" r:id="rId16"/>
  </sheets>
  <definedNames/>
  <calcPr/>
  <extLst>
    <ext uri="GoogleSheetsCustomDataVersion2">
      <go:sheetsCustomData xmlns:go="http://customooxmlschemas.google.com/" r:id="rId17" roundtripDataChecksum="2mNcEUBVpW3/hwSMOXk/1xbRvlHitmTVKY+AjTx0kEY="/>
    </ext>
  </extLst>
</workbook>
</file>

<file path=xl/sharedStrings.xml><?xml version="1.0" encoding="utf-8"?>
<sst xmlns="http://schemas.openxmlformats.org/spreadsheetml/2006/main" count="874" uniqueCount="311">
  <si>
    <t xml:space="preserve">Надходження благодійних пожертв  від юридичних осіб </t>
  </si>
  <si>
    <t xml:space="preserve">Надходження благодійних пожертв від фізичних осіб </t>
  </si>
  <si>
    <t>Надходження благодійних від невизначених осіб (публічний збір коштів)</t>
  </si>
  <si>
    <t xml:space="preserve">Всього надходжень благодійних пожертв </t>
  </si>
  <si>
    <t>Надходження у вигляді відсотків за депозитами</t>
  </si>
  <si>
    <t>Витрачено на благодійність та благодійні програми</t>
  </si>
  <si>
    <t>Адміністративні витрати фонду</t>
  </si>
  <si>
    <t>дата</t>
  </si>
  <si>
    <t>Назва компанії</t>
  </si>
  <si>
    <t>Сума, грн.</t>
  </si>
  <si>
    <t>нові лікарні</t>
  </si>
  <si>
    <t>Girl Power Ukraine</t>
  </si>
  <si>
    <t>реконструкція та відновлення</t>
  </si>
  <si>
    <t>Гарячі потреби</t>
  </si>
  <si>
    <t>Тепла зима</t>
  </si>
  <si>
    <t>WOW KIDS</t>
  </si>
  <si>
    <t>ХАБ</t>
  </si>
  <si>
    <t>ОТП проект</t>
  </si>
  <si>
    <t>Girl camp</t>
  </si>
  <si>
    <t>IT Study</t>
  </si>
  <si>
    <t>Банківська комісія (приват)</t>
  </si>
  <si>
    <t>послуги Нової Пошти</t>
  </si>
  <si>
    <t>послуги у сфері інформатизації Онен І.Р</t>
  </si>
  <si>
    <t>оплата за програмну продукцію ТОВ Сілвері</t>
  </si>
  <si>
    <t>оплата за товари ФОП Михайлова Н.Ю.</t>
  </si>
  <si>
    <t>адміністративні витрати фонду</t>
  </si>
  <si>
    <t>послуги за ведення соціальних мереж ФОП Косинська І.Д.</t>
  </si>
  <si>
    <t>оплата за воду для офісу ТОВ "ІДС АКВА СЕРВІС"</t>
  </si>
  <si>
    <t>зарплата аванс (приват)</t>
  </si>
  <si>
    <t>податки</t>
  </si>
  <si>
    <t>оплата за товари ФОП Ольшевська А.А.</t>
  </si>
  <si>
    <t>оплата за товари для офісу ТОВ НК ЛТД</t>
  </si>
  <si>
    <t>оплата за телекомунікаційні послуги ТОВ ТриМоб</t>
  </si>
  <si>
    <t>оплата за електронні комунікаційні послуги ТОВ Бінотел</t>
  </si>
  <si>
    <t>оплата за охорону приміщення Шериф-Пультова Безпека ПП</t>
  </si>
  <si>
    <t>оплата за книги ФОП Чужовська З.В.</t>
  </si>
  <si>
    <t>оплата за зв"язок АТ Прат Київстар</t>
  </si>
  <si>
    <t>оплата за абонплату інтернет ТОВ КН ТЕЛ</t>
  </si>
  <si>
    <t>оплата за послуги фото зйомки ФОП Поправка</t>
  </si>
  <si>
    <t>юридичні послуги ФОП Ткаченко А.О.</t>
  </si>
  <si>
    <t>бухгалтерський супровід ТОВ КЕЙ СОЛЮШНЗ</t>
  </si>
  <si>
    <t>послуги прибирання Крістал Клінинг ТОВ</t>
  </si>
  <si>
    <t>оплата за розміщення сайту ТОВ ХОСТПРОЛАБ</t>
  </si>
  <si>
    <t>ТОВ "ВЕРЕСЕНЬ ПЛЮС"</t>
  </si>
  <si>
    <t>OLHA NEKHRYSHEVA</t>
  </si>
  <si>
    <t>UK ONLINE GIVING FOUNDATION</t>
  </si>
  <si>
    <t>ТОВ ДЛЛ ЕЛЕКТРОНІКС</t>
  </si>
  <si>
    <t xml:space="preserve">Всього: </t>
  </si>
  <si>
    <t>GLOBALGIVING FOUNDATION</t>
  </si>
  <si>
    <t>продовження ліцензії на використання програмної продукції ТОВ Сіфт</t>
  </si>
  <si>
    <t>оплата за консалтингові послуги ФОП Систренська</t>
  </si>
  <si>
    <t xml:space="preserve">ПРЕД ДАТС РАДИ </t>
  </si>
  <si>
    <t>ТОВ УПР</t>
  </si>
  <si>
    <t>оплата за сервіс ТОВ Вчасно сервіс</t>
  </si>
  <si>
    <t>оплата за психологічно-консультаційні послуги ФОП Прокопенко</t>
  </si>
  <si>
    <t>ТОВ "ПРОСПЕКТС
УКРАЇНА"</t>
  </si>
  <si>
    <t>оплата за брендовані товари ФОП Дерень</t>
  </si>
  <si>
    <t>благодійний внесок Асоціаціґ Благодійників України</t>
  </si>
  <si>
    <t>оплата за товари для очистки ФОП Кушнір</t>
  </si>
  <si>
    <t>послуги проведення фотозйомки ФОП Дятченко</t>
  </si>
  <si>
    <t xml:space="preserve">оплата за інформаційно-консультаційні ФОП Мовчан </t>
  </si>
  <si>
    <t>організація заходу 25,02 ФОП Шевченко О.В.</t>
  </si>
  <si>
    <t>КАПIТАЛ-РОСТ ТОВ</t>
  </si>
  <si>
    <t>Мембрана Україна ТОВ</t>
  </si>
  <si>
    <t>ТОВ "ДЛЛ ЕЛЕКТРОНIКС"</t>
  </si>
  <si>
    <t>послуги гугл ФОП Онен Ірина Романівна</t>
  </si>
  <si>
    <t>Телекомунікаційні послуги ТОВ Бінотел-Айті Сервіс</t>
  </si>
  <si>
    <t>оплата за розміщення сайту ТОВ "ХОСТПРОЛАБ"</t>
  </si>
  <si>
    <t>оплата за чай, каву та воду ТОВ "НК ЛТД"</t>
  </si>
  <si>
    <t>послуги охорони</t>
  </si>
  <si>
    <t>інформаційно-консультаційні послуги КЕЙ СОЛЮШНЗ ТОВ</t>
  </si>
  <si>
    <t>Послуги прибирання примiщення (офісу)</t>
  </si>
  <si>
    <t>оплата за воду ТОВ ІДС АКВА</t>
  </si>
  <si>
    <t>дизайн, макети, буклети, реклама ФОП Косинська І.Д.</t>
  </si>
  <si>
    <t>оплата за товари ФОП Михайлова</t>
  </si>
  <si>
    <t>продовження дії ліцензії ТОВ СІФТ</t>
  </si>
  <si>
    <t>послуги проведення зйомки ФОП Дятченко</t>
  </si>
  <si>
    <t>оплата послуг по дизайну ФОП Юраш</t>
  </si>
  <si>
    <t>доступ до CRM</t>
  </si>
  <si>
    <t>послуги зв"язку Київстар</t>
  </si>
  <si>
    <t>послуги організації заходу ФОп Саприкіна</t>
  </si>
  <si>
    <t>плата за інтернет ТОВ "КН-ТЕЛ"</t>
  </si>
  <si>
    <t>організація заходу ФОП Шевченко О.</t>
  </si>
  <si>
    <t>субаренда приміщення ЮА Спейс</t>
  </si>
  <si>
    <t>печево в офіс ФОП Ольшевська А.А.</t>
  </si>
  <si>
    <t>послуги зі зйомки ФОП Поправка М.В.</t>
  </si>
  <si>
    <t>ПП"АЛЬФАМЕД"</t>
  </si>
  <si>
    <t>інформаційно-консультаційні послуги ФОП Гуменюк</t>
  </si>
  <si>
    <t>інформаційно- консультаційні послуги ТОВ Сілвері</t>
  </si>
  <si>
    <t>МЕМБРАНА УКРАIНА ТОВ</t>
  </si>
  <si>
    <t>Спорт 2025</t>
  </si>
  <si>
    <t>організація заходу ФОП Жулан (КСВ сніданок 29,04)</t>
  </si>
  <si>
    <t>Телекомунікаційні послуги ТОВ Бінотел</t>
  </si>
  <si>
    <t>виготовлення візиток ТОВ Глянец</t>
  </si>
  <si>
    <t>оренда студії ФОП Корень</t>
  </si>
  <si>
    <t>консультаційні послуги ФОП Мазуренко (стратегія фонду)</t>
  </si>
  <si>
    <t>суборенда приміщення для стратсесії ТОВ ЮА Спейс</t>
  </si>
  <si>
    <t>ТОВ ВЕРЕСЕНЬ</t>
  </si>
  <si>
    <t>послуги перекладу ФОП Філь М.І.</t>
  </si>
  <si>
    <t>проведення фотозйомки ФОП Дятченко</t>
  </si>
  <si>
    <t>інфрмаційні послуги ФОП Бакланова (страт сесія 17-18..04)</t>
  </si>
  <si>
    <t>ТОВ СІФТ(права та використання програмного продукту)</t>
  </si>
  <si>
    <t>організація заходу ФОП Саприкіна (КСВ сніданок 25,03)</t>
  </si>
  <si>
    <t>АДВОКАТСЬКЕ ОБ'ЄДНАННЯ "ЕДВАНК"</t>
  </si>
  <si>
    <t>консультаційні послуги ФОП Воронюк</t>
  </si>
  <si>
    <t>оплата за мобільний стенд ТОВ Стендбай</t>
  </si>
  <si>
    <t>оплата за навчальний курс ФОП Нікуліна</t>
  </si>
  <si>
    <t>Послуги дослідження ФОП Мишанич</t>
  </si>
  <si>
    <t>ПРЕД ДАТС РАДИ У СПР.БIЖЕН УКР</t>
  </si>
  <si>
    <t>ТОВ "IЛАТАНМЕД"</t>
  </si>
  <si>
    <t>jewelry company Magnat</t>
  </si>
  <si>
    <t>ТОВ ДЛЛ Електронікс</t>
  </si>
  <si>
    <t>WOW camp</t>
  </si>
  <si>
    <t>вишиванки</t>
  </si>
  <si>
    <t>спорт</t>
  </si>
  <si>
    <t>ТОВ "ДРАГОН КАПIТАЛ IНВЕСТМЕНТС</t>
  </si>
  <si>
    <t>періодичне видання ТОВ УЯВИ</t>
  </si>
  <si>
    <t>обслуговування заходів ФОП Ткаченко (27,05)</t>
  </si>
  <si>
    <t>оплата за товар (рамка) ФОП Дубровіна</t>
  </si>
  <si>
    <t>інформаційно-консультаційні послуги ТОВ Просперо Консалт</t>
  </si>
  <si>
    <t>оплата за товари ФОП Крилов О.</t>
  </si>
  <si>
    <t>JOINT-STOCK COMPANY</t>
  </si>
  <si>
    <t>послуги з дослідження ФОП Мишанич</t>
  </si>
  <si>
    <t>організація заходу ФОП Саприкіна (КСВ 09,04)</t>
  </si>
  <si>
    <t>оплата за таблички на укриття ФОП Сенченко</t>
  </si>
  <si>
    <t>Magnat fine jewelry</t>
  </si>
  <si>
    <t>організація заходу ФОП Ворчак</t>
  </si>
  <si>
    <t>обслуговування заходу ФОП Дніпровський (27,05)</t>
  </si>
  <si>
    <t>ОТП Банк</t>
  </si>
  <si>
    <t>оплата за товари ТОВ Сільпо-Фуд (організація заходу)</t>
  </si>
  <si>
    <t>АТ "IНГ Банк Україна"</t>
  </si>
  <si>
    <t>АО "АРЦIНГЕР"</t>
  </si>
  <si>
    <t>благодщійний внесок Асоціація Благодійників України</t>
  </si>
  <si>
    <t>OLHA NEKHRYSHEVA YUBILEYNIY</t>
  </si>
  <si>
    <t>оплата за товари ТОВ Епіцентр</t>
  </si>
  <si>
    <t>послуги дизайна ФОП Юраш</t>
  </si>
  <si>
    <t>проведення фотозйомки ФОП Дятченко (КСВ сніданок 21,05)</t>
  </si>
  <si>
    <t>організаціця заходу ФОП Байрамова В.В. (захід 21,05)</t>
  </si>
  <si>
    <t>БО "БФ "МХП-ГРОМАДI"</t>
  </si>
  <si>
    <t>ТОВ "АТIС ФАРМА"</t>
  </si>
  <si>
    <t>АДВОКАТСЬКЕ БЮРО "ОЛЬГИ ГОНЧАР"</t>
  </si>
  <si>
    <t>Kids camp</t>
  </si>
  <si>
    <t>Вишиванки</t>
  </si>
  <si>
    <t>STEM</t>
  </si>
  <si>
    <t>HOME HUB</t>
  </si>
  <si>
    <t>Adam Batten</t>
  </si>
  <si>
    <t>продовження ліцензії ТОВ Сіфт</t>
  </si>
  <si>
    <t>виготовлення поліграфії ТОВ Глянец</t>
  </si>
  <si>
    <t>Make the difference gemeinnuetzige GmbH</t>
  </si>
  <si>
    <t>оплата за товари ФОП Харченко</t>
  </si>
  <si>
    <t>ТОВ "КАСТОМЕРТАЙМЗ"</t>
  </si>
  <si>
    <t>KWS SAAT</t>
  </si>
  <si>
    <t>оплата за товари (брендовані) ФОП Балюра</t>
  </si>
  <si>
    <t>заправка картриджів ФОП Трубець</t>
  </si>
  <si>
    <t>обслуговування заходу ТОВ Парко Нероу (03,06)</t>
  </si>
  <si>
    <t>оплата за книги ФОП Чужовська</t>
  </si>
  <si>
    <t>оплата за товари ТОВ Епіцентр К</t>
  </si>
  <si>
    <t>НЦ АНГЛIЙСЬКА ДЛЯ КОМПАНIЙ ТОВ</t>
  </si>
  <si>
    <t>послуги копірайтингу ФОП Андрікевич</t>
  </si>
  <si>
    <t>оплата за товари ФОП Анікєєв</t>
  </si>
  <si>
    <t>оплата за товари ФОП Доскіч</t>
  </si>
  <si>
    <t>використання системи ТОВ Ю КОНТРОЛ</t>
  </si>
  <si>
    <t>Даєва Олена Григорівна (сервіс)</t>
  </si>
  <si>
    <t>Кадрова платформа ТОВ</t>
  </si>
  <si>
    <t>ТОВ "УЛЬМА ОПАЛУБКА УКРАЇНА"</t>
  </si>
  <si>
    <t>доплата за послуги ФОП Мазуренко</t>
  </si>
  <si>
    <t>оплата за послуги ФОП Косинська</t>
  </si>
  <si>
    <t>обробка даних ЦСК Україна ТОВ</t>
  </si>
  <si>
    <t>членство в ЄБА</t>
  </si>
  <si>
    <t>послуги перекладу ФОп Філь</t>
  </si>
  <si>
    <t>оплата за надання послуг ФОП Владимирова</t>
  </si>
  <si>
    <t>благодійний внесок Фундація Князів Благодійників</t>
  </si>
  <si>
    <t>Оплата за квиток на захід ТОВ УЯВИ</t>
  </si>
  <si>
    <t>ЗЗВ ДЕК ТОВ</t>
  </si>
  <si>
    <t>ТОВ "СТОУНСЕНД"</t>
  </si>
  <si>
    <t>СПОРТ</t>
  </si>
  <si>
    <t>оплата за товари ТОВ КРЕАТИВ КОМПАНІ УКРАЇНА</t>
  </si>
  <si>
    <t>оплата за товари ФОП Звєрєва Тетяна</t>
  </si>
  <si>
    <t>оплата за оновлення МЕДОК ТОВ "Інтел Офіс"</t>
  </si>
  <si>
    <t>оплата за товари Довганін А.Л.</t>
  </si>
  <si>
    <t>оплата за товари ФОП Кулак В.Є</t>
  </si>
  <si>
    <t>ФIЛIЯ ФОНДУ "АВСI" В УКРАЇНI</t>
  </si>
  <si>
    <t xml:space="preserve">обслуговування заходу ФОП Дніпровський  </t>
  </si>
  <si>
    <t>Професiйна спiлка залiзничникiв</t>
  </si>
  <si>
    <t>передплата дебет-кредит ТОВ Меркурій</t>
  </si>
  <si>
    <t>оплата за товари ТОВ Сільпо-Фуд</t>
  </si>
  <si>
    <t>організація заходу ФОП Котенок А.В.</t>
  </si>
  <si>
    <t>ТОВ Просперо Конасалт</t>
  </si>
  <si>
    <t>послуги розробки сайту ФОП Юраш</t>
  </si>
  <si>
    <t>штамп для проекту НОМЕ ФОП Безвуляк</t>
  </si>
  <si>
    <t>оплата за рекламні послуги ФОП Богдан Я.Ю.</t>
  </si>
  <si>
    <t>продовження ліцензії ТОВ СІФТ</t>
  </si>
  <si>
    <t>НОВА ЛОГIСТИЧНА КОМПАНIЯ ТОВ</t>
  </si>
  <si>
    <t>психологічна підтримка ФОП Прокопенко</t>
  </si>
  <si>
    <t>проведення фотозйомки (захід 29,07) ФОП Дятченко</t>
  </si>
  <si>
    <t>ГРIДАСОВ I.В. ФОП</t>
  </si>
  <si>
    <t>CHARITIES AID FOUNDATION AMERICA</t>
  </si>
  <si>
    <t>Каргіл</t>
  </si>
  <si>
    <t xml:space="preserve"> сенсорні кімнати</t>
  </si>
  <si>
    <t>повний портфель</t>
  </si>
  <si>
    <t>оплата за товари Розетка</t>
  </si>
  <si>
    <t>оплата за товар ФОП Гриненко</t>
  </si>
  <si>
    <t>оновлення медок ФОП Коханчук</t>
  </si>
  <si>
    <t xml:space="preserve">ТОВ УПР </t>
  </si>
  <si>
    <t>виготовлення поліграфії ТОВ Глянець</t>
  </si>
  <si>
    <t>організація заходу ФОП Саприкіна (КСВ 29,07)</t>
  </si>
  <si>
    <t>психологічно-консультаційні послуги ФОП Прокопенко</t>
  </si>
  <si>
    <t>ведення соціальних мереж ФОП Косинська</t>
  </si>
  <si>
    <t>оплата за товари ФОП Горак</t>
  </si>
  <si>
    <t>АТ "Сенс Банк"</t>
  </si>
  <si>
    <t>ФОП Поправка</t>
  </si>
  <si>
    <t>ТОВ "АЙЕСДI"</t>
  </si>
  <si>
    <t>інформаційно-консультаційні послуги ФОП Спотикайло О.М.</t>
  </si>
  <si>
    <t>оплата пожертви КМФБ Фудбенк</t>
  </si>
  <si>
    <t>послуги коворкінгу ТОВ генератор</t>
  </si>
  <si>
    <t>адміністративні витрати</t>
  </si>
  <si>
    <t>послуги підключення платіжної системи ФОП Юраш</t>
  </si>
  <si>
    <t>оплата за консультаційні послуги ФОП Саприкіна</t>
  </si>
  <si>
    <t>оплата за організацію заходу ФОП Степанова А.</t>
  </si>
  <si>
    <t>оплата товару з логотипом ФОП Дерень І.Г.</t>
  </si>
  <si>
    <t>оплата за товари з логотипом ФОП Балюра Д.Д.</t>
  </si>
  <si>
    <t>послуги суборенди ТОВ ОСВІТОРІЯ ХАБ</t>
  </si>
  <si>
    <t>НЕТХАН</t>
  </si>
  <si>
    <t>оплата за журнал Форбс ТОВ УЯВИ</t>
  </si>
  <si>
    <t>31/09/2025</t>
  </si>
  <si>
    <t xml:space="preserve">Оплата за товари ФОП Євреімова </t>
  </si>
  <si>
    <t>прибирання</t>
  </si>
  <si>
    <t>адміністративні послуги</t>
  </si>
  <si>
    <t>оплата ЄБА</t>
  </si>
  <si>
    <t>послуги перекладу ФОП Філь</t>
  </si>
  <si>
    <t>оплата за товари ТОВ Розетка</t>
  </si>
  <si>
    <t>друк на павербанку ФОп Балюра Д.Д.</t>
  </si>
  <si>
    <t>консультаційні послуги ФОП Саприкіна</t>
  </si>
  <si>
    <t>оплата за товари Попцова В.</t>
  </si>
  <si>
    <t>оплата за диплом ФОП Дяченко</t>
  </si>
  <si>
    <t>оплата за товари ФОП Дерень І.Г.</t>
  </si>
  <si>
    <t>оплата за товари ФОП Подгорний О.П.</t>
  </si>
  <si>
    <t>оплата перекладу ТОВ УЦСП</t>
  </si>
  <si>
    <t>ГО Громадське телебачення</t>
  </si>
  <si>
    <t>Оплата за послуги ПРАТ ВФ Україна</t>
  </si>
  <si>
    <t>виготовлення поліграфічної продукції ТОВ Глянец</t>
  </si>
  <si>
    <t>Оплата за світловий лайтбокс  ФОП Гриненко В.С.</t>
  </si>
  <si>
    <t>Оплата за товари (нагорода) ФОП Хазан Ю.В.</t>
  </si>
  <si>
    <t>послуги психологічної пілтримки ФОП Прокопенко</t>
  </si>
  <si>
    <t>оплата за товари (брендовані) ФОП Дерень І.</t>
  </si>
  <si>
    <t>Оплата за послуги оформлення заходу Загородня Л.П.</t>
  </si>
  <si>
    <t>Оплата за послуги суборенди на захід Сахно І.В.</t>
  </si>
  <si>
    <t>консалтингові послуги ФОП Систренська</t>
  </si>
  <si>
    <t>Оплата за брендовані товари ФОП Кириленко-Плюхіна</t>
  </si>
  <si>
    <t>оплата за товари (брендовані) ФОП Балюра Д.Д.</t>
  </si>
  <si>
    <t>Послуги перекладу ФОП Філь</t>
  </si>
  <si>
    <t>Оплата за організацію заходу Степанова А.П.</t>
  </si>
  <si>
    <t>послуги проведення відеозйомок ФОП Дятченко</t>
  </si>
  <si>
    <t>Оплата за кейтиренгові послуги Лісневич Г.В.</t>
  </si>
  <si>
    <t>Послуги коворкінгу ТОВ Генератор</t>
  </si>
  <si>
    <t>31/11/2025</t>
  </si>
  <si>
    <t>послуги прибирання</t>
  </si>
  <si>
    <t>обслуговування заходу Островський Є.В. ФОП</t>
  </si>
  <si>
    <t>оплата за послуги дизайну ФОП Юраш</t>
  </si>
  <si>
    <t>рекламні послуги ТОВ ВД МЕДІА ДК</t>
  </si>
  <si>
    <t>послуги аудиту ТОВ ЕЙЧ ЕЛ БІ ЮКРЕЙН</t>
  </si>
  <si>
    <t>Оплата за послуги оформлення заходу Саприкіна М.А.</t>
  </si>
  <si>
    <t>інформаційно-консультаційні послуги ТОВ Альтерра</t>
  </si>
  <si>
    <t>послуги за проведення заходу та готельні послуги ТОВ Хотел Менеджмент Груп</t>
  </si>
  <si>
    <t>оплата за товар (рамка А4) ФОП Дубровіна</t>
  </si>
  <si>
    <t>оплата за послуги організації події ФОП Дзюба</t>
  </si>
  <si>
    <t>Оплата за товари ТОВ ЮСК Україна</t>
  </si>
  <si>
    <t>оплата за товари (нагорода) ФОП Хазан</t>
  </si>
  <si>
    <t>Оплата за організацію заходу ФОП Царук Ю.В.</t>
  </si>
  <si>
    <t>послуги аудиту АФ Консалтинг ЛТД</t>
  </si>
  <si>
    <t>оплата за розміщення реклами ФОП Боркунов Р.О</t>
  </si>
  <si>
    <t>Оплата внеску ЄБА</t>
  </si>
  <si>
    <t>інформаційні послуги Український Хостинг</t>
  </si>
  <si>
    <t>консультація психолога ФОП Прокопенко</t>
  </si>
  <si>
    <t>#</t>
  </si>
  <si>
    <t>Найменування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</si>
  <si>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</si>
  <si>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</si>
  <si>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</si>
  <si>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</si>
  <si>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</si>
  <si>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</si>
  <si>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</si>
  <si>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</si>
  <si>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</si>
  <si>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</si>
  <si>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</si>
  <si>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</si>
  <si>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Всього, грн</t>
  </si>
  <si>
    <t>А</t>
  </si>
  <si>
    <t>Надходження, загалом:</t>
  </si>
  <si>
    <t>A1</t>
  </si>
  <si>
    <t>Благодійні пожертви:</t>
  </si>
  <si>
    <t>A1.1</t>
  </si>
  <si>
    <t>Благодійні пожертви, отримані від юридичних осіб, всього, у т.ч.</t>
  </si>
  <si>
    <t>ПРЕД ДАТС РАДИ</t>
  </si>
  <si>
    <t>ТОВ "ПРОСПЕКТС</t>
  </si>
  <si>
    <t>A1.2</t>
  </si>
  <si>
    <t>Благодійні пожертви, отримані  від фізичних осіб</t>
  </si>
  <si>
    <t>A1.3</t>
  </si>
  <si>
    <t>Благодійні пожертви, отримані в результаті публічного збору пожертв</t>
  </si>
  <si>
    <t>A2</t>
  </si>
  <si>
    <t>Банківські відсотки за зберігання коштів на депозитних рахунках</t>
  </si>
  <si>
    <t>В</t>
  </si>
  <si>
    <t>Витрати</t>
  </si>
  <si>
    <t>В1</t>
  </si>
  <si>
    <t>Витрачено на благодійні проекти, всього, в т.ч.</t>
  </si>
  <si>
    <t>Нові лікарні</t>
  </si>
  <si>
    <t>Реконструкція та відновлення</t>
  </si>
  <si>
    <t>Спорт</t>
  </si>
  <si>
    <t>В2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</si>
</sst>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/mm/yyyy"/>
    <numFmt numFmtId="166" formatCode="_ * #,##0.00_ ;_ * \-#,##0.00_ ;_ * &quot;-&quot;??_ ;_ @_ "/>
    <numFmt numFmtId="167" formatCode="m/d/yyyy"/>
  </numFmts>
  <fonts count="24">
    <font>
      <sz val="11.0"/>
      <color theme="1"/>
      <name val="Calibri"/>
      <scheme val="minor"/>
    </font>
    <font>
      <b/>
      <sz val="11.0"/>
      <color theme="1"/>
      <name val="Calibri"/>
    </font>
    <font/>
    <font>
      <color theme="1"/>
      <name val="Calibri"/>
      <scheme val="minor"/>
    </font>
    <font>
      <sz val="11.0"/>
      <color theme="1"/>
      <name val="Calibri"/>
    </font>
    <font>
      <color theme="1"/>
      <name val="Calibri"/>
    </font>
    <font>
      <sz val="11.0"/>
      <color rgb="FFBFBFBF"/>
      <name val="Calibri"/>
    </font>
    <font>
      <sz val="11.0"/>
      <color rgb="FF000000"/>
      <name val="Calibri"/>
    </font>
    <font>
      <sz val="11.0"/>
      <color rgb="FF1F1F1F"/>
      <name val="Arial"/>
    </font>
    <font>
      <sz val="9.0"/>
      <color theme="1"/>
      <name val="Calibri"/>
    </font>
    <font>
      <sz val="8.0"/>
      <color rgb="FF000000"/>
      <name val="Arial"/>
    </font>
    <font>
      <sz val="8.0"/>
      <color rgb="FF000000"/>
      <name val="Freesans"/>
    </font>
    <font>
      <sz val="8.0"/>
      <color rgb="FF1F1F1F"/>
      <name val="Arial"/>
    </font>
    <font>
      <sz val="11.0"/>
      <color rgb="FF000000"/>
      <name val="Arial"/>
    </font>
    <font>
      <sz val="10.0"/>
      <color theme="1"/>
      <name val="Arial"/>
    </font>
    <font>
      <sz val="12.0"/>
      <color rgb="FF000000"/>
      <name val="Roboto"/>
    </font>
    <font>
      <color rgb="FF000000"/>
      <name val="Calibri"/>
    </font>
    <font>
      <color rgb="FF000000"/>
      <name val="Arial"/>
    </font>
    <font>
      <color rgb="FF000000"/>
      <name val="Roboto"/>
    </font>
    <font>
      <sz val="10.0"/>
      <color rgb="FF000000"/>
      <name val="Roboto"/>
    </font>
    <font>
      <sz val="9.0"/>
      <color rgb="FF1F1F1F"/>
      <name val="Arial"/>
    </font>
    <font>
      <color rgb="FF0A0A0A"/>
      <name val="Arial"/>
    </font>
    <font>
      <b/>
      <sz val="11.0"/>
      <color rgb="FF595959"/>
      <name val="Calibri"/>
    </font>
    <font>
      <sz val="11.0"/>
      <color rgb="FF595959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6D9EEB"/>
        <bgColor rgb="FF6D9EEB"/>
      </patternFill>
    </fill>
    <fill>
      <patternFill patternType="solid">
        <fgColor rgb="FF6FA8DC"/>
        <bgColor rgb="FF6FA8DC"/>
      </patternFill>
    </fill>
    <fill>
      <patternFill patternType="solid">
        <fgColor rgb="FF93C47D"/>
        <bgColor rgb="FF93C47D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</fills>
  <borders count="21">
    <border/>
    <border>
      <left style="double">
        <color rgb="FF000000"/>
      </left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E2EFD9"/>
      </bottom>
    </border>
    <border>
      <left style="thin">
        <color rgb="FF000000"/>
      </left>
      <right style="thin">
        <color rgb="FF000000"/>
      </right>
      <top style="thin">
        <color rgb="FFE2EFD9"/>
      </top>
      <bottom style="thin">
        <color rgb="FFE2EFD9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88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0" fillId="2" fontId="1" numFmtId="0" xfId="0" applyAlignment="1" applyFill="1" applyFont="1">
      <alignment horizontal="center" shrinkToFit="0" vertical="center" wrapText="1"/>
    </xf>
    <xf borderId="3" fillId="0" fontId="1" numFmtId="164" xfId="0" applyAlignment="1" applyBorder="1" applyFont="1" applyNumberFormat="1">
      <alignment horizontal="center" shrinkToFit="0" vertical="center" wrapText="1"/>
    </xf>
    <xf borderId="0" fillId="2" fontId="3" numFmtId="0" xfId="0" applyFont="1"/>
    <xf borderId="0" fillId="0" fontId="4" numFmtId="165" xfId="0" applyAlignment="1" applyFont="1" applyNumberFormat="1">
      <alignment readingOrder="0"/>
    </xf>
    <xf borderId="0" fillId="0" fontId="5" numFmtId="0" xfId="0" applyFont="1"/>
    <xf borderId="5" fillId="0" fontId="5" numFmtId="0" xfId="0" applyBorder="1" applyFont="1"/>
    <xf borderId="5" fillId="0" fontId="4" numFmtId="0" xfId="0" applyBorder="1" applyFont="1"/>
    <xf borderId="0" fillId="0" fontId="6" numFmtId="0" xfId="0" applyFont="1"/>
    <xf borderId="0" fillId="0" fontId="4" numFmtId="0" xfId="0" applyFont="1"/>
    <xf borderId="5" fillId="0" fontId="3" numFmtId="0" xfId="0" applyBorder="1" applyFont="1"/>
    <xf borderId="5" fillId="0" fontId="5" numFmtId="4" xfId="0" applyBorder="1" applyFont="1" applyNumberFormat="1"/>
    <xf borderId="0" fillId="0" fontId="4" numFmtId="0" xfId="0" applyAlignment="1" applyFont="1">
      <alignment shrinkToFit="0" vertical="top" wrapText="1"/>
    </xf>
    <xf borderId="6" fillId="0" fontId="4" numFmtId="0" xfId="0" applyBorder="1" applyFont="1"/>
    <xf borderId="5" fillId="0" fontId="4" numFmtId="4" xfId="0" applyBorder="1" applyFont="1" applyNumberFormat="1"/>
    <xf borderId="5" fillId="0" fontId="7" numFmtId="166" xfId="0" applyAlignment="1" applyBorder="1" applyFont="1" applyNumberFormat="1">
      <alignment horizontal="right" vertical="top"/>
    </xf>
    <xf borderId="0" fillId="3" fontId="8" numFmtId="0" xfId="0" applyFill="1" applyFont="1"/>
    <xf borderId="0" fillId="0" fontId="4" numFmtId="0" xfId="0" applyAlignment="1" applyFont="1">
      <alignment readingOrder="0" shrinkToFit="0" vertical="top" wrapText="1"/>
    </xf>
    <xf borderId="5" fillId="0" fontId="4" numFmtId="166" xfId="0" applyAlignment="1" applyBorder="1" applyFont="1" applyNumberFormat="1">
      <alignment horizontal="center" shrinkToFit="0" vertical="top" wrapText="1"/>
    </xf>
    <xf borderId="0" fillId="0" fontId="4" numFmtId="0" xfId="0" applyAlignment="1" applyFont="1">
      <alignment shrinkToFit="0" wrapText="1"/>
    </xf>
    <xf borderId="5" fillId="0" fontId="4" numFmtId="166" xfId="0" applyAlignment="1" applyBorder="1" applyFont="1" applyNumberFormat="1">
      <alignment horizontal="right" vertical="top"/>
    </xf>
    <xf borderId="0" fillId="0" fontId="4" numFmtId="0" xfId="0" applyAlignment="1" applyFont="1">
      <alignment readingOrder="0" vertical="top"/>
    </xf>
    <xf borderId="0" fillId="0" fontId="4" numFmtId="0" xfId="0" applyAlignment="1" applyFont="1">
      <alignment vertical="top"/>
    </xf>
    <xf borderId="0" fillId="3" fontId="8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left" shrinkToFit="0" wrapText="1"/>
    </xf>
    <xf borderId="5" fillId="0" fontId="4" numFmtId="0" xfId="0" applyAlignment="1" applyBorder="1" applyFont="1">
      <alignment readingOrder="0"/>
    </xf>
    <xf borderId="0" fillId="0" fontId="8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4" numFmtId="0" xfId="0" applyAlignment="1" applyFont="1">
      <alignment readingOrder="0" shrinkToFit="0" wrapText="1"/>
    </xf>
    <xf borderId="5" fillId="0" fontId="7" numFmtId="4" xfId="0" applyAlignment="1" applyBorder="1" applyFont="1" applyNumberFormat="1">
      <alignment horizontal="right" vertical="top"/>
    </xf>
    <xf borderId="5" fillId="0" fontId="5" numFmtId="0" xfId="0" applyAlignment="1" applyBorder="1" applyFont="1">
      <alignment readingOrder="0"/>
    </xf>
    <xf borderId="7" fillId="0" fontId="5" numFmtId="0" xfId="0" applyAlignment="1" applyBorder="1" applyFont="1">
      <alignment readingOrder="0"/>
    </xf>
    <xf borderId="7" fillId="0" fontId="5" numFmtId="0" xfId="0" applyBorder="1" applyFont="1"/>
    <xf borderId="8" fillId="0" fontId="3" numFmtId="0" xfId="0" applyAlignment="1" applyBorder="1" applyFont="1">
      <alignment readingOrder="0"/>
    </xf>
    <xf borderId="7" fillId="0" fontId="3" numFmtId="0" xfId="0" applyBorder="1" applyFont="1"/>
    <xf borderId="7" fillId="0" fontId="5" numFmtId="4" xfId="0" applyBorder="1" applyFont="1" applyNumberFormat="1"/>
    <xf borderId="9" fillId="4" fontId="1" numFmtId="164" xfId="0" applyBorder="1" applyFill="1" applyFont="1" applyNumberFormat="1"/>
    <xf borderId="9" fillId="4" fontId="1" numFmtId="2" xfId="0" applyBorder="1" applyFont="1" applyNumberFormat="1"/>
    <xf borderId="10" fillId="2" fontId="1" numFmtId="2" xfId="0" applyBorder="1" applyFont="1" applyNumberFormat="1"/>
    <xf borderId="0" fillId="0" fontId="1" numFmtId="2" xfId="0" applyFont="1" applyNumberFormat="1"/>
    <xf borderId="11" fillId="0" fontId="1" numFmtId="164" xfId="0" applyAlignment="1" applyBorder="1" applyFont="1" applyNumberFormat="1">
      <alignment horizontal="center" shrinkToFit="0" vertical="center" wrapText="1"/>
    </xf>
    <xf borderId="11" fillId="0" fontId="1" numFmtId="0" xfId="0" applyAlignment="1" applyBorder="1" applyFont="1">
      <alignment horizontal="center" shrinkToFit="0" vertical="center" wrapText="1"/>
    </xf>
    <xf borderId="12" fillId="0" fontId="4" numFmtId="165" xfId="0" applyAlignment="1" applyBorder="1" applyFont="1" applyNumberFormat="1">
      <alignment readingOrder="0" vertical="top"/>
    </xf>
    <xf borderId="12" fillId="0" fontId="4" numFmtId="0" xfId="0" applyAlignment="1" applyBorder="1" applyFont="1">
      <alignment shrinkToFit="0" vertical="top" wrapText="1"/>
    </xf>
    <xf borderId="12" fillId="0" fontId="4" numFmtId="0" xfId="0" applyAlignment="1" applyBorder="1" applyFont="1">
      <alignment vertical="top"/>
    </xf>
    <xf borderId="5" fillId="0" fontId="4" numFmtId="165" xfId="0" applyAlignment="1" applyBorder="1" applyFont="1" applyNumberFormat="1">
      <alignment readingOrder="0" vertical="top"/>
    </xf>
    <xf borderId="5" fillId="0" fontId="4" numFmtId="0" xfId="0" applyAlignment="1" applyBorder="1" applyFont="1">
      <alignment shrinkToFit="0" vertical="top" wrapText="1"/>
    </xf>
    <xf borderId="5" fillId="0" fontId="4" numFmtId="0" xfId="0" applyAlignment="1" applyBorder="1" applyFont="1">
      <alignment vertical="top"/>
    </xf>
    <xf borderId="5" fillId="0" fontId="4" numFmtId="0" xfId="0" applyAlignment="1" applyBorder="1" applyFont="1">
      <alignment readingOrder="0" shrinkToFit="0" vertical="top" wrapText="1"/>
    </xf>
    <xf borderId="5" fillId="0" fontId="4" numFmtId="0" xfId="0" applyAlignment="1" applyBorder="1" applyFont="1">
      <alignment readingOrder="0" vertical="top"/>
    </xf>
    <xf borderId="5" fillId="0" fontId="4" numFmtId="0" xfId="0" applyAlignment="1" applyBorder="1" applyFont="1">
      <alignment shrinkToFit="0" wrapText="1"/>
    </xf>
    <xf borderId="0" fillId="0" fontId="3" numFmtId="0" xfId="0" applyAlignment="1" applyFont="1">
      <alignment readingOrder="0"/>
    </xf>
    <xf borderId="0" fillId="0" fontId="3" numFmtId="0" xfId="0" applyFont="1"/>
    <xf borderId="5" fillId="0" fontId="3" numFmtId="0" xfId="0" applyAlignment="1" applyBorder="1" applyFont="1">
      <alignment readingOrder="0"/>
    </xf>
    <xf borderId="3" fillId="0" fontId="1" numFmtId="0" xfId="0" applyAlignment="1" applyBorder="1" applyFont="1">
      <alignment horizontal="center" readingOrder="0" shrinkToFit="0" vertical="center" wrapText="1"/>
    </xf>
    <xf borderId="5" fillId="0" fontId="4" numFmtId="4" xfId="0" applyAlignment="1" applyBorder="1" applyFont="1" applyNumberFormat="1">
      <alignment vertical="top"/>
    </xf>
    <xf borderId="5" fillId="0" fontId="4" numFmtId="165" xfId="0" applyAlignment="1" applyBorder="1" applyFont="1" applyNumberFormat="1">
      <alignment readingOrder="0"/>
    </xf>
    <xf borderId="5" fillId="0" fontId="9" numFmtId="0" xfId="0" applyAlignment="1" applyBorder="1" applyFont="1">
      <alignment readingOrder="0" shrinkToFit="0" vertical="bottom" wrapText="0"/>
    </xf>
    <xf borderId="5" fillId="0" fontId="10" numFmtId="0" xfId="0" applyBorder="1" applyFont="1"/>
    <xf borderId="5" fillId="0" fontId="11" numFmtId="0" xfId="0" applyBorder="1" applyFont="1"/>
    <xf borderId="0" fillId="0" fontId="8" numFmtId="0" xfId="0" applyFont="1"/>
    <xf borderId="0" fillId="0" fontId="4" numFmtId="2" xfId="0" applyAlignment="1" applyFont="1" applyNumberFormat="1">
      <alignment vertical="top"/>
    </xf>
    <xf borderId="5" fillId="0" fontId="10" numFmtId="0" xfId="0" applyAlignment="1" applyBorder="1" applyFont="1">
      <alignment shrinkToFit="0" wrapText="1"/>
    </xf>
    <xf borderId="5" fillId="0" fontId="12" numFmtId="0" xfId="0" applyAlignment="1" applyBorder="1" applyFont="1">
      <alignment readingOrder="0"/>
    </xf>
    <xf borderId="5" fillId="0" fontId="8" numFmtId="0" xfId="0" applyBorder="1" applyFont="1"/>
    <xf borderId="7" fillId="0" fontId="4" numFmtId="165" xfId="0" applyAlignment="1" applyBorder="1" applyFont="1" applyNumberFormat="1">
      <alignment readingOrder="0" vertical="top"/>
    </xf>
    <xf borderId="7" fillId="0" fontId="4" numFmtId="0" xfId="0" applyAlignment="1" applyBorder="1" applyFont="1">
      <alignment readingOrder="0" vertical="top"/>
    </xf>
    <xf borderId="7" fillId="0" fontId="4" numFmtId="0" xfId="0" applyAlignment="1" applyBorder="1" applyFont="1">
      <alignment vertical="top"/>
    </xf>
    <xf borderId="7" fillId="0" fontId="4" numFmtId="4" xfId="0" applyAlignment="1" applyBorder="1" applyFont="1" applyNumberFormat="1">
      <alignment vertical="top"/>
    </xf>
    <xf borderId="9" fillId="2" fontId="1" numFmtId="2" xfId="0" applyBorder="1" applyFont="1" applyNumberFormat="1"/>
    <xf borderId="0" fillId="0" fontId="3" numFmtId="2" xfId="0" applyFont="1" applyNumberFormat="1"/>
    <xf borderId="11" fillId="0" fontId="1" numFmtId="0" xfId="0" applyAlignment="1" applyBorder="1" applyFont="1">
      <alignment horizontal="center" readingOrder="0" shrinkToFit="0" vertical="center" wrapText="1"/>
    </xf>
    <xf borderId="12" fillId="0" fontId="4" numFmtId="4" xfId="0" applyAlignment="1" applyBorder="1" applyFont="1" applyNumberFormat="1">
      <alignment vertical="top"/>
    </xf>
    <xf borderId="5" fillId="0" fontId="11" numFmtId="0" xfId="0" applyAlignment="1" applyBorder="1" applyFont="1">
      <alignment readingOrder="0"/>
    </xf>
    <xf borderId="5" fillId="0" fontId="4" numFmtId="0" xfId="0" applyAlignment="1" applyBorder="1" applyFont="1">
      <alignment readingOrder="0" shrinkToFit="0" wrapText="1"/>
    </xf>
    <xf borderId="5" fillId="0" fontId="13" numFmtId="0" xfId="0" applyAlignment="1" applyBorder="1" applyFont="1">
      <alignment readingOrder="0"/>
    </xf>
    <xf borderId="5" fillId="0" fontId="4" numFmtId="0" xfId="0" applyAlignment="1" applyBorder="1" applyFont="1">
      <alignment horizontal="right" readingOrder="0" vertical="top"/>
    </xf>
    <xf borderId="12" fillId="0" fontId="4" numFmtId="165" xfId="0" applyAlignment="1" applyBorder="1" applyFont="1" applyNumberFormat="1">
      <alignment vertical="top"/>
    </xf>
    <xf borderId="5" fillId="0" fontId="14" numFmtId="0" xfId="0" applyAlignment="1" applyBorder="1" applyFont="1">
      <alignment readingOrder="0"/>
    </xf>
    <xf borderId="5" fillId="3" fontId="15" numFmtId="0" xfId="0" applyBorder="1" applyFont="1"/>
    <xf borderId="9" fillId="5" fontId="1" numFmtId="167" xfId="0" applyBorder="1" applyFill="1" applyFont="1" applyNumberFormat="1"/>
    <xf borderId="9" fillId="5" fontId="1" numFmtId="2" xfId="0" applyBorder="1" applyFont="1" applyNumberFormat="1"/>
    <xf borderId="9" fillId="6" fontId="1" numFmtId="2" xfId="0" applyBorder="1" applyFill="1" applyFont="1" applyNumberFormat="1"/>
    <xf borderId="0" fillId="0" fontId="4" numFmtId="167" xfId="0" applyFont="1" applyNumberFormat="1"/>
    <xf borderId="12" fillId="0" fontId="4" numFmtId="167" xfId="0" applyAlignment="1" applyBorder="1" applyFont="1" applyNumberFormat="1">
      <alignment vertical="top"/>
    </xf>
    <xf borderId="5" fillId="0" fontId="14" numFmtId="0" xfId="0" applyBorder="1" applyFont="1"/>
    <xf borderId="9" fillId="0" fontId="3" numFmtId="0" xfId="0" applyAlignment="1" applyBorder="1" applyFont="1">
      <alignment readingOrder="0"/>
    </xf>
    <xf borderId="7" fillId="0" fontId="4" numFmtId="0" xfId="0" applyAlignment="1" applyBorder="1" applyFont="1">
      <alignment horizontal="right" readingOrder="0" vertical="top"/>
    </xf>
    <xf borderId="7" fillId="0" fontId="4" numFmtId="0" xfId="0" applyAlignment="1" applyBorder="1" applyFont="1">
      <alignment shrinkToFit="0" vertical="top" wrapText="1"/>
    </xf>
    <xf borderId="9" fillId="4" fontId="1" numFmtId="167" xfId="0" applyBorder="1" applyFont="1" applyNumberFormat="1"/>
    <xf borderId="9" fillId="4" fontId="1" numFmtId="4" xfId="0" applyBorder="1" applyFont="1" applyNumberFormat="1"/>
    <xf borderId="5" fillId="0" fontId="5" numFmtId="49" xfId="0" applyAlignment="1" applyBorder="1" applyFont="1" applyNumberFormat="1">
      <alignment readingOrder="0"/>
    </xf>
    <xf borderId="13" fillId="0" fontId="1" numFmtId="0" xfId="0" applyAlignment="1" applyBorder="1" applyFont="1">
      <alignment horizontal="center" readingOrder="0" shrinkToFit="0" vertical="center" wrapText="1"/>
    </xf>
    <xf borderId="14" fillId="0" fontId="4" numFmtId="0" xfId="0" applyAlignment="1" applyBorder="1" applyFont="1">
      <alignment vertical="top"/>
    </xf>
    <xf borderId="14" fillId="0" fontId="4" numFmtId="0" xfId="0" applyAlignment="1" applyBorder="1" applyFont="1">
      <alignment readingOrder="0" vertical="top"/>
    </xf>
    <xf borderId="9" fillId="0" fontId="4" numFmtId="0" xfId="0" applyAlignment="1" applyBorder="1" applyFont="1">
      <alignment vertical="top"/>
    </xf>
    <xf borderId="5" fillId="0" fontId="4" numFmtId="0" xfId="0" applyAlignment="1" applyBorder="1" applyFont="1">
      <alignment readingOrder="0" shrinkToFit="0" vertical="center" wrapText="1"/>
    </xf>
    <xf borderId="15" fillId="0" fontId="4" numFmtId="0" xfId="0" applyAlignment="1" applyBorder="1" applyFont="1">
      <alignment vertical="top"/>
    </xf>
    <xf borderId="16" fillId="4" fontId="1" numFmtId="2" xfId="0" applyBorder="1" applyFont="1" applyNumberFormat="1"/>
    <xf borderId="17" fillId="2" fontId="1" numFmtId="2" xfId="0" applyBorder="1" applyFont="1" applyNumberFormat="1"/>
    <xf borderId="0" fillId="0" fontId="5" numFmtId="4" xfId="0" applyFont="1" applyNumberFormat="1"/>
    <xf borderId="0" fillId="2" fontId="1" numFmtId="0" xfId="0" applyAlignment="1" applyFont="1">
      <alignment horizontal="center" vertical="center"/>
    </xf>
    <xf borderId="12" fillId="0" fontId="16" numFmtId="167" xfId="0" applyAlignment="1" applyBorder="1" applyFont="1" applyNumberFormat="1">
      <alignment shrinkToFit="0" vertical="top" wrapText="0"/>
    </xf>
    <xf borderId="12" fillId="0" fontId="16" numFmtId="0" xfId="0" applyAlignment="1" applyBorder="1" applyFont="1">
      <alignment vertical="top"/>
    </xf>
    <xf borderId="12" fillId="0" fontId="16" numFmtId="0" xfId="0" applyAlignment="1" applyBorder="1" applyFont="1">
      <alignment shrinkToFit="0" vertical="top" wrapText="0"/>
    </xf>
    <xf borderId="0" fillId="0" fontId="16" numFmtId="0" xfId="0" applyAlignment="1" applyFont="1">
      <alignment shrinkToFit="0" vertical="top" wrapText="0"/>
    </xf>
    <xf borderId="0" fillId="0" fontId="16" numFmtId="0" xfId="0" applyAlignment="1" applyFont="1">
      <alignment horizontal="right" shrinkToFit="0" vertical="top" wrapText="0"/>
    </xf>
    <xf borderId="5" fillId="0" fontId="16" numFmtId="0" xfId="0" applyAlignment="1" applyBorder="1" applyFont="1">
      <alignment vertical="top"/>
    </xf>
    <xf borderId="5" fillId="0" fontId="17" numFmtId="0" xfId="0" applyAlignment="1" applyBorder="1" applyFont="1">
      <alignment shrinkToFit="0" vertical="bottom" wrapText="0"/>
    </xf>
    <xf borderId="5" fillId="0" fontId="16" numFmtId="0" xfId="0" applyAlignment="1" applyBorder="1" applyFont="1">
      <alignment horizontal="right" shrinkToFit="0" vertical="top" wrapText="0"/>
    </xf>
    <xf borderId="5" fillId="0" fontId="16" numFmtId="0" xfId="0" applyAlignment="1" applyBorder="1" applyFont="1">
      <alignment shrinkToFit="0" vertical="top" wrapText="0"/>
    </xf>
    <xf borderId="5" fillId="0" fontId="17" numFmtId="0" xfId="0" applyAlignment="1" applyBorder="1" applyFont="1">
      <alignment horizontal="right" shrinkToFit="0" vertical="bottom" wrapText="0"/>
    </xf>
    <xf borderId="5" fillId="0" fontId="16" numFmtId="0" xfId="0" applyAlignment="1" applyBorder="1" applyFont="1">
      <alignment vertical="bottom"/>
    </xf>
    <xf borderId="5" fillId="0" fontId="16" numFmtId="0" xfId="0" applyAlignment="1" applyBorder="1" applyFont="1">
      <alignment shrinkToFit="0" vertical="bottom" wrapText="0"/>
    </xf>
    <xf borderId="5" fillId="0" fontId="16" numFmtId="0" xfId="0" applyAlignment="1" applyBorder="1" applyFont="1">
      <alignment horizontal="right" shrinkToFit="0" vertical="bottom" wrapText="0"/>
    </xf>
    <xf borderId="5" fillId="0" fontId="18" numFmtId="0" xfId="0" applyAlignment="1" applyBorder="1" applyFont="1">
      <alignment shrinkToFit="0" wrapText="0"/>
    </xf>
    <xf borderId="0" fillId="0" fontId="16" numFmtId="0" xfId="0" applyAlignment="1" applyFont="1">
      <alignment shrinkToFit="0" vertical="bottom" wrapText="0"/>
    </xf>
    <xf borderId="7" fillId="0" fontId="16" numFmtId="0" xfId="0" applyAlignment="1" applyBorder="1" applyFont="1">
      <alignment shrinkToFit="0" vertical="bottom" wrapText="0"/>
    </xf>
    <xf borderId="7" fillId="0" fontId="16" numFmtId="0" xfId="0" applyAlignment="1" applyBorder="1" applyFont="1">
      <alignment horizontal="right" shrinkToFit="0" vertical="bottom" wrapText="0"/>
    </xf>
    <xf borderId="0" fillId="0" fontId="16" numFmtId="0" xfId="0" applyAlignment="1" applyFont="1">
      <alignment horizontal="right" shrinkToFit="0" vertical="bottom" wrapText="0"/>
    </xf>
    <xf borderId="7" fillId="0" fontId="16" numFmtId="0" xfId="0" applyAlignment="1" applyBorder="1" applyFont="1">
      <alignment shrinkToFit="0" vertical="top" wrapText="0"/>
    </xf>
    <xf borderId="9" fillId="5" fontId="1" numFmtId="4" xfId="0" applyBorder="1" applyFont="1" applyNumberFormat="1"/>
    <xf borderId="10" fillId="0" fontId="1" numFmtId="2" xfId="0" applyBorder="1" applyFont="1" applyNumberFormat="1"/>
    <xf borderId="0" fillId="2" fontId="1" numFmtId="0" xfId="0" applyAlignment="1" applyFont="1">
      <alignment horizontal="center" readingOrder="0" shrinkToFit="0" vertical="center" wrapText="1"/>
    </xf>
    <xf borderId="12" fillId="0" fontId="4" numFmtId="4" xfId="0" applyAlignment="1" applyBorder="1" applyFont="1" applyNumberFormat="1">
      <alignment horizontal="center" vertical="top"/>
    </xf>
    <xf borderId="12" fillId="0" fontId="4" numFmtId="4" xfId="0" applyAlignment="1" applyBorder="1" applyFont="1" applyNumberFormat="1">
      <alignment horizontal="center" shrinkToFit="0" vertical="top" wrapText="1"/>
    </xf>
    <xf borderId="0" fillId="0" fontId="4" numFmtId="4" xfId="0" applyAlignment="1" applyFont="1" applyNumberFormat="1">
      <alignment horizontal="center" vertical="top"/>
    </xf>
    <xf borderId="5" fillId="0" fontId="4" numFmtId="4" xfId="0" applyAlignment="1" applyBorder="1" applyFont="1" applyNumberFormat="1">
      <alignment horizontal="center" vertical="top"/>
    </xf>
    <xf borderId="5" fillId="0" fontId="5" numFmtId="4" xfId="0" applyAlignment="1" applyBorder="1" applyFont="1" applyNumberFormat="1">
      <alignment horizontal="center"/>
    </xf>
    <xf borderId="0" fillId="0" fontId="5" numFmtId="4" xfId="0" applyAlignment="1" applyFont="1" applyNumberFormat="1">
      <alignment horizontal="center"/>
    </xf>
    <xf borderId="5" fillId="0" fontId="19" numFmtId="0" xfId="0" applyBorder="1" applyFont="1"/>
    <xf borderId="7" fillId="0" fontId="5" numFmtId="4" xfId="0" applyAlignment="1" applyBorder="1" applyFont="1" applyNumberFormat="1">
      <alignment horizontal="center"/>
    </xf>
    <xf borderId="9" fillId="2" fontId="1" numFmtId="4" xfId="0" applyBorder="1" applyFont="1" applyNumberFormat="1"/>
    <xf borderId="5" fillId="0" fontId="20" numFmtId="0" xfId="0" applyBorder="1" applyFont="1"/>
    <xf borderId="5" fillId="0" fontId="16" numFmtId="0" xfId="0" applyBorder="1" applyFont="1"/>
    <xf borderId="5" fillId="0" fontId="21" numFmtId="0" xfId="0" applyBorder="1" applyFont="1"/>
    <xf borderId="0" fillId="0" fontId="4" numFmtId="167" xfId="0" applyAlignment="1" applyFont="1" applyNumberFormat="1">
      <alignment vertical="top"/>
    </xf>
    <xf borderId="18" fillId="0" fontId="4" numFmtId="0" xfId="0" applyAlignment="1" applyBorder="1" applyFont="1">
      <alignment shrinkToFit="0" vertical="top" wrapText="1"/>
    </xf>
    <xf borderId="18" fillId="0" fontId="4" numFmtId="0" xfId="0" applyAlignment="1" applyBorder="1" applyFont="1">
      <alignment vertical="top"/>
    </xf>
    <xf borderId="0" fillId="0" fontId="4" numFmtId="165" xfId="0" applyAlignment="1" applyFont="1" applyNumberFormat="1">
      <alignment readingOrder="0" vertical="top"/>
    </xf>
    <xf borderId="19" fillId="0" fontId="4" numFmtId="0" xfId="0" applyAlignment="1" applyBorder="1" applyFont="1">
      <alignment shrinkToFit="0" vertical="top" wrapText="1"/>
    </xf>
    <xf borderId="19" fillId="0" fontId="14" numFmtId="0" xfId="0" applyBorder="1" applyFont="1"/>
    <xf borderId="19" fillId="0" fontId="4" numFmtId="0" xfId="0" applyAlignment="1" applyBorder="1" applyFont="1">
      <alignment vertical="top"/>
    </xf>
    <xf borderId="5" fillId="3" fontId="20" numFmtId="0" xfId="0" applyBorder="1" applyFont="1"/>
    <xf borderId="19" fillId="0" fontId="4" numFmtId="0" xfId="0" applyAlignment="1" applyBorder="1" applyFont="1">
      <alignment shrinkToFit="0" wrapText="1"/>
    </xf>
    <xf borderId="19" fillId="0" fontId="4" numFmtId="0" xfId="0" applyBorder="1" applyFont="1"/>
    <xf borderId="19" fillId="0" fontId="5" numFmtId="0" xfId="0" applyBorder="1" applyFont="1"/>
    <xf borderId="0" fillId="0" fontId="1" numFmtId="49" xfId="0" applyFont="1" applyNumberFormat="1"/>
    <xf borderId="0" fillId="0" fontId="1" numFmtId="0" xfId="0" applyAlignment="1" applyFont="1">
      <alignment shrinkToFit="0" wrapText="1"/>
    </xf>
    <xf borderId="0" fillId="0" fontId="1" numFmtId="4" xfId="0" applyFont="1" applyNumberFormat="1"/>
    <xf borderId="20" fillId="7" fontId="1" numFmtId="49" xfId="0" applyBorder="1" applyFill="1" applyFont="1" applyNumberFormat="1"/>
    <xf borderId="20" fillId="7" fontId="1" numFmtId="0" xfId="0" applyAlignment="1" applyBorder="1" applyFont="1">
      <alignment shrinkToFit="0" wrapText="1"/>
    </xf>
    <xf borderId="20" fillId="7" fontId="22" numFmtId="2" xfId="0" applyBorder="1" applyFont="1" applyNumberFormat="1"/>
    <xf borderId="20" fillId="7" fontId="1" numFmtId="4" xfId="0" applyBorder="1" applyFont="1" applyNumberFormat="1"/>
    <xf borderId="20" fillId="2" fontId="1" numFmtId="49" xfId="0" applyBorder="1" applyFont="1" applyNumberFormat="1"/>
    <xf borderId="20" fillId="2" fontId="1" numFmtId="0" xfId="0" applyAlignment="1" applyBorder="1" applyFont="1">
      <alignment shrinkToFit="0" wrapText="1"/>
    </xf>
    <xf borderId="20" fillId="2" fontId="22" numFmtId="2" xfId="0" applyBorder="1" applyFont="1" applyNumberFormat="1"/>
    <xf borderId="20" fillId="2" fontId="1" numFmtId="4" xfId="0" applyBorder="1" applyFont="1" applyNumberFormat="1"/>
    <xf borderId="20" fillId="8" fontId="1" numFmtId="49" xfId="0" applyBorder="1" applyFill="1" applyFont="1" applyNumberFormat="1"/>
    <xf borderId="20" fillId="8" fontId="1" numFmtId="0" xfId="0" applyAlignment="1" applyBorder="1" applyFont="1">
      <alignment shrinkToFit="0" wrapText="1"/>
    </xf>
    <xf borderId="20" fillId="8" fontId="22" numFmtId="2" xfId="0" applyBorder="1" applyFont="1" applyNumberFormat="1"/>
    <xf borderId="20" fillId="8" fontId="22" numFmtId="4" xfId="0" applyBorder="1" applyFont="1" applyNumberFormat="1"/>
    <xf borderId="20" fillId="8" fontId="1" numFmtId="4" xfId="0" applyBorder="1" applyFont="1" applyNumberFormat="1"/>
    <xf borderId="0" fillId="0" fontId="4" numFmtId="2" xfId="0" applyFont="1" applyNumberFormat="1"/>
    <xf borderId="0" fillId="0" fontId="23" numFmtId="2" xfId="0" applyAlignment="1" applyFont="1" applyNumberFormat="1">
      <alignment horizontal="right" readingOrder="0"/>
    </xf>
    <xf borderId="0" fillId="0" fontId="23" numFmtId="2" xfId="0" applyAlignment="1" applyFont="1" applyNumberFormat="1">
      <alignment horizontal="right"/>
    </xf>
    <xf borderId="0" fillId="0" fontId="22" numFmtId="4" xfId="0" applyFont="1" applyNumberFormat="1"/>
    <xf borderId="0" fillId="3" fontId="20" numFmtId="0" xfId="0" applyAlignment="1" applyFont="1">
      <alignment readingOrder="0"/>
    </xf>
    <xf borderId="0" fillId="3" fontId="20" numFmtId="0" xfId="0" applyFont="1"/>
    <xf borderId="20" fillId="8" fontId="1" numFmtId="0" xfId="0" applyAlignment="1" applyBorder="1" applyFont="1">
      <alignment horizontal="left" shrinkToFit="0" wrapText="1"/>
    </xf>
    <xf borderId="0" fillId="0" fontId="1" numFmtId="0" xfId="0" applyFont="1"/>
    <xf borderId="20" fillId="2" fontId="1" numFmtId="0" xfId="0" applyAlignment="1" applyBorder="1" applyFont="1">
      <alignment horizontal="left" shrinkToFit="0" wrapText="1"/>
    </xf>
    <xf borderId="20" fillId="2" fontId="22" numFmtId="4" xfId="0" applyBorder="1" applyFont="1" applyNumberFormat="1"/>
    <xf borderId="0" fillId="0" fontId="4" numFmtId="4" xfId="0" applyFont="1" applyNumberFormat="1"/>
    <xf borderId="20" fillId="7" fontId="22" numFmtId="4" xfId="0" applyBorder="1" applyFont="1" applyNumberFormat="1"/>
    <xf borderId="0" fillId="0" fontId="4" numFmtId="0" xfId="0" applyAlignment="1" applyFont="1">
      <alignment horizontal="left" readingOrder="0" shrinkToFit="0" vertical="center" wrapText="1"/>
    </xf>
    <xf borderId="0" fillId="0" fontId="23" numFmtId="2" xfId="0" applyAlignment="1" applyFont="1" applyNumberFormat="1">
      <alignment vertical="center"/>
    </xf>
    <xf borderId="0" fillId="0" fontId="23" numFmtId="2" xfId="0" applyAlignment="1" applyFont="1" applyNumberFormat="1">
      <alignment readingOrder="0" vertical="center"/>
    </xf>
    <xf borderId="0" fillId="0" fontId="23" numFmtId="4" xfId="0" applyAlignment="1" applyFont="1" applyNumberFormat="1">
      <alignment vertical="center"/>
    </xf>
    <xf borderId="0" fillId="0" fontId="23" numFmtId="4" xfId="0" applyAlignment="1" applyFont="1" applyNumberFormat="1">
      <alignment readingOrder="0" vertical="center"/>
    </xf>
    <xf borderId="0" fillId="0" fontId="4" numFmtId="0" xfId="0" applyAlignment="1" applyFont="1">
      <alignment horizontal="left" readingOrder="0" shrinkToFit="0" wrapText="1"/>
    </xf>
    <xf borderId="0" fillId="0" fontId="4" numFmtId="4" xfId="0" applyAlignment="1" applyFont="1" applyNumberForma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3.29"/>
    <col customWidth="1" min="2" max="2" width="23.14"/>
    <col customWidth="1" min="3" max="3" width="11.14"/>
    <col customWidth="1" min="4" max="4" width="16.29"/>
    <col customWidth="1" min="5" max="5" width="16.57"/>
    <col customWidth="1" hidden="1" min="6" max="6" width="11.29"/>
    <col customWidth="1" min="7" max="7" width="20.57"/>
    <col customWidth="1" min="8" max="8" width="14.86"/>
    <col customWidth="1" min="9" max="9" width="10.86"/>
    <col customWidth="1" min="10" max="10" width="13.57"/>
    <col customWidth="1" min="11" max="11" width="14.29"/>
    <col customWidth="1" min="12" max="12" width="15.14"/>
    <col customWidth="1" min="13" max="13" width="11.86"/>
    <col customWidth="1" min="14" max="14" width="11.71"/>
    <col customWidth="1" min="15" max="15" width="12.29"/>
    <col customWidth="1" min="16" max="19" width="9.14"/>
    <col customWidth="1" min="20" max="20" width="11.43"/>
    <col customWidth="1" min="21" max="21" width="61.14"/>
    <col customWidth="1" min="22" max="24" width="9.14"/>
  </cols>
  <sheetData>
    <row r="1" ht="75.0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6.25" customHeight="1">
      <c r="A2" s="7" t="s">
        <v>7</v>
      </c>
      <c r="B2" s="4" t="s">
        <v>8</v>
      </c>
      <c r="C2" s="4" t="s">
        <v>9</v>
      </c>
      <c r="D2" s="4" t="s">
        <v>9</v>
      </c>
      <c r="E2" s="4" t="s">
        <v>9</v>
      </c>
      <c r="F2" s="4" t="s">
        <v>9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/>
      <c r="S2" s="4"/>
      <c r="T2" s="6"/>
      <c r="U2" s="8"/>
    </row>
    <row r="3" ht="14.25" customHeight="1">
      <c r="A3" s="9">
        <v>45658.0</v>
      </c>
      <c r="B3" s="10"/>
      <c r="C3" s="11"/>
      <c r="D3" s="12"/>
      <c r="E3" s="12">
        <f>1000+6.27</f>
        <v>1006.27</v>
      </c>
      <c r="F3" s="13"/>
      <c r="G3" s="14"/>
      <c r="H3" s="11"/>
      <c r="I3" s="15"/>
      <c r="J3" s="15"/>
      <c r="K3" s="15"/>
      <c r="L3" s="16"/>
      <c r="M3" s="15"/>
      <c r="N3" s="15"/>
      <c r="O3" s="15"/>
      <c r="P3" s="15"/>
      <c r="Q3" s="15"/>
      <c r="R3" s="15"/>
      <c r="S3" s="15"/>
      <c r="T3" s="14">
        <f>5+5+5+5+5+5+5+5+5+5+5+5+5+5+5+5+5+5+5+5+5+5+5+76.54+5+5+5+5+5+5+5+5+67.38+5+5+5+5+5+5+5+5+5+5+5+5+5+5+5+5+5+5+5+5+5+5+5+15+5+5+5+15+5+5+5+15+15+5+15+5+5+5+5+15+5+5+5+5+5+5+5+5+5+5+5+5+5+5+5+15+83.47+5+5+5+5+5+5+5</f>
        <v>767.39</v>
      </c>
      <c r="U3" s="17" t="s">
        <v>20</v>
      </c>
      <c r="V3" s="17"/>
    </row>
    <row r="4" ht="14.25" customHeight="1">
      <c r="A4" s="9">
        <v>45658.0</v>
      </c>
      <c r="C4" s="11"/>
      <c r="D4" s="11"/>
      <c r="E4" s="11">
        <f>500+49.5+500+197.4+41.01</f>
        <v>1287.91</v>
      </c>
      <c r="F4" s="13"/>
      <c r="G4" s="14"/>
      <c r="H4" s="11"/>
      <c r="I4" s="15"/>
      <c r="J4" s="15"/>
      <c r="K4" s="15"/>
      <c r="L4" s="16"/>
      <c r="M4" s="12"/>
      <c r="N4" s="15"/>
      <c r="O4" s="15"/>
      <c r="P4" s="15"/>
      <c r="Q4" s="15"/>
      <c r="R4" s="15"/>
      <c r="S4" s="15"/>
      <c r="U4" s="17"/>
      <c r="V4" s="17"/>
    </row>
    <row r="5" ht="14.25" customHeight="1">
      <c r="A5" s="9">
        <v>45659.0</v>
      </c>
      <c r="B5" s="10"/>
      <c r="C5" s="18"/>
      <c r="D5" s="12"/>
      <c r="E5" s="11">
        <f>2953.95+374.39+418.17</f>
        <v>3746.51</v>
      </c>
      <c r="F5" s="13"/>
      <c r="G5" s="14"/>
      <c r="H5" s="11"/>
      <c r="I5" s="15"/>
      <c r="J5" s="15"/>
      <c r="K5" s="15"/>
      <c r="L5" s="19"/>
      <c r="M5" s="20"/>
      <c r="N5" s="12"/>
      <c r="O5" s="20"/>
      <c r="P5" s="15"/>
      <c r="Q5" s="15"/>
      <c r="R5" s="11"/>
      <c r="S5" s="15"/>
      <c r="T5" s="14">
        <f>1765+1790+4972.5</f>
        <v>8527.5</v>
      </c>
      <c r="U5" s="21" t="s">
        <v>21</v>
      </c>
      <c r="V5" s="17"/>
    </row>
    <row r="6" ht="14.25" customHeight="1">
      <c r="A6" s="9">
        <v>45659.0</v>
      </c>
      <c r="C6" s="12"/>
      <c r="D6" s="12"/>
      <c r="E6" s="11">
        <f>200+49.359+1480.5</f>
        <v>1729.859</v>
      </c>
      <c r="F6" s="13"/>
      <c r="G6" s="14"/>
      <c r="H6" s="11"/>
      <c r="I6" s="15"/>
      <c r="J6" s="15"/>
      <c r="K6" s="15"/>
      <c r="L6" s="19"/>
      <c r="M6" s="20"/>
      <c r="N6" s="12"/>
      <c r="O6" s="20"/>
      <c r="P6" s="15"/>
      <c r="Q6" s="15"/>
      <c r="R6" s="15"/>
      <c r="S6" s="15"/>
      <c r="T6" s="14">
        <f>10462.04</f>
        <v>10462.04</v>
      </c>
      <c r="U6" s="22" t="s">
        <v>22</v>
      </c>
      <c r="V6" s="17"/>
    </row>
    <row r="7" ht="14.25" customHeight="1">
      <c r="A7" s="9">
        <v>45660.0</v>
      </c>
      <c r="C7" s="11"/>
      <c r="D7" s="12"/>
      <c r="E7" s="11">
        <f>50+4038.3+415.36+717.43</f>
        <v>5221.09</v>
      </c>
      <c r="F7" s="13"/>
      <c r="G7" s="14"/>
      <c r="H7" s="12"/>
      <c r="I7" s="15"/>
      <c r="J7" s="15"/>
      <c r="K7" s="15"/>
      <c r="L7" s="19"/>
      <c r="M7" s="23"/>
      <c r="N7" s="12"/>
      <c r="O7" s="23"/>
      <c r="P7" s="15"/>
      <c r="Q7" s="15"/>
      <c r="R7" s="15"/>
      <c r="S7" s="15"/>
      <c r="T7" s="14">
        <f>363.22+10800+363.22</f>
        <v>11526.44</v>
      </c>
      <c r="U7" s="22" t="s">
        <v>23</v>
      </c>
      <c r="V7" s="17"/>
    </row>
    <row r="8" ht="14.25" customHeight="1">
      <c r="A8" s="9">
        <v>45660.0</v>
      </c>
      <c r="C8" s="11"/>
      <c r="D8" s="12"/>
      <c r="E8" s="12">
        <f>199.5+0.5+0.5+299.5</f>
        <v>500</v>
      </c>
      <c r="F8" s="13"/>
      <c r="G8" s="14"/>
      <c r="H8" s="11"/>
      <c r="I8" s="15"/>
      <c r="J8" s="15"/>
      <c r="K8" s="15"/>
      <c r="L8" s="19"/>
      <c r="M8" s="20"/>
      <c r="N8" s="12">
        <f>3000+18000</f>
        <v>21000</v>
      </c>
      <c r="O8" s="23"/>
      <c r="P8" s="15"/>
      <c r="Q8" s="15"/>
      <c r="R8" s="15"/>
      <c r="S8" s="15"/>
      <c r="T8" s="14">
        <f>4370+2870</f>
        <v>7240</v>
      </c>
      <c r="U8" s="22" t="s">
        <v>24</v>
      </c>
      <c r="V8" s="17"/>
    </row>
    <row r="9" ht="14.25" customHeight="1">
      <c r="A9" s="9">
        <v>45661.0</v>
      </c>
      <c r="B9" s="24"/>
      <c r="C9" s="11"/>
      <c r="D9" s="11"/>
      <c r="E9" s="12">
        <f>1073.61+531.37+1299.09</f>
        <v>2904.07</v>
      </c>
      <c r="F9" s="13"/>
      <c r="G9" s="14"/>
      <c r="H9" s="11"/>
      <c r="I9" s="15"/>
      <c r="J9" s="15"/>
      <c r="K9" s="15"/>
      <c r="L9" s="19"/>
      <c r="M9" s="20"/>
      <c r="N9" s="12"/>
      <c r="O9" s="23"/>
      <c r="P9" s="15"/>
      <c r="Q9" s="15"/>
      <c r="R9" s="11"/>
      <c r="S9" s="15"/>
      <c r="T9" s="14">
        <f>135941+29800+7000+15200+5250+33300+21900+21900+16630+10500+7000+2140+35600+15200+23030+16800</f>
        <v>397191</v>
      </c>
      <c r="U9" s="22" t="s">
        <v>25</v>
      </c>
      <c r="V9" s="17"/>
    </row>
    <row r="10" ht="14.25" customHeight="1">
      <c r="A10" s="9">
        <v>45661.0</v>
      </c>
      <c r="B10" s="24"/>
      <c r="C10" s="11"/>
      <c r="D10" s="12"/>
      <c r="E10" s="11">
        <f>300+10.5+2570.15+197.4</f>
        <v>3078.05</v>
      </c>
      <c r="F10" s="13"/>
      <c r="G10" s="14"/>
      <c r="H10" s="11"/>
      <c r="I10" s="15"/>
      <c r="J10" s="15"/>
      <c r="K10" s="15"/>
      <c r="L10" s="19"/>
      <c r="M10" s="25"/>
      <c r="N10" s="12"/>
      <c r="O10" s="20"/>
      <c r="P10" s="11"/>
      <c r="Q10" s="15"/>
      <c r="R10" s="15"/>
      <c r="S10" s="15"/>
      <c r="T10" s="14">
        <f>45000</f>
        <v>45000</v>
      </c>
      <c r="U10" s="22" t="s">
        <v>26</v>
      </c>
      <c r="V10" s="17"/>
    </row>
    <row r="11" ht="14.25" customHeight="1">
      <c r="A11" s="9">
        <v>45662.0</v>
      </c>
      <c r="B11" s="24"/>
      <c r="C11" s="11"/>
      <c r="D11" s="11"/>
      <c r="E11" s="12">
        <f>1151.57+606.62+875.32</f>
        <v>2633.51</v>
      </c>
      <c r="F11" s="13"/>
      <c r="G11" s="14"/>
      <c r="H11" s="11"/>
      <c r="I11" s="11"/>
      <c r="J11" s="15"/>
      <c r="K11" s="15"/>
      <c r="L11" s="19"/>
      <c r="M11" s="25"/>
      <c r="N11" s="12"/>
      <c r="O11" s="20"/>
      <c r="P11" s="15"/>
      <c r="Q11" s="15"/>
      <c r="R11" s="11"/>
      <c r="S11" s="15"/>
      <c r="T11" s="14">
        <f>1386</f>
        <v>1386</v>
      </c>
      <c r="U11" s="22" t="s">
        <v>27</v>
      </c>
      <c r="V11" s="17"/>
    </row>
    <row r="12" ht="14.25" customHeight="1">
      <c r="A12" s="9">
        <v>45662.0</v>
      </c>
      <c r="B12" s="24"/>
      <c r="C12" s="11"/>
      <c r="D12" s="11"/>
      <c r="E12" s="12">
        <f>0.5</f>
        <v>0.5</v>
      </c>
      <c r="F12" s="13"/>
      <c r="G12" s="14"/>
      <c r="H12" s="11"/>
      <c r="I12" s="15"/>
      <c r="J12" s="15"/>
      <c r="K12" s="15"/>
      <c r="L12" s="19"/>
      <c r="M12" s="25"/>
      <c r="N12" s="12"/>
      <c r="O12" s="20"/>
      <c r="P12" s="15"/>
      <c r="Q12" s="15"/>
      <c r="R12" s="15"/>
      <c r="S12" s="15"/>
      <c r="T12" s="14">
        <f>19134.5+12914.44+14041.72+28697.9+19130.65+47894+14348.95+14348.95+15307.6+16747.5+14348.95+13475+6217.75+12914.44+6217.75+18256.7+14089.46+21529.2+20655.25+30873.15+15657.95+52113.6+14089.46+31308.2+20655.25+20962.48+5657.19+16693.6+20867+6787.55</f>
        <v>565936.14</v>
      </c>
      <c r="U12" s="22" t="s">
        <v>28</v>
      </c>
      <c r="V12" s="17"/>
    </row>
    <row r="13" ht="14.25" customHeight="1">
      <c r="A13" s="9">
        <v>45663.0</v>
      </c>
      <c r="B13" s="24"/>
      <c r="C13" s="11"/>
      <c r="D13" s="11"/>
      <c r="E13" s="12">
        <f>90+4856.15+842.62</f>
        <v>5788.77</v>
      </c>
      <c r="F13" s="13"/>
      <c r="G13" s="14"/>
      <c r="H13" s="11"/>
      <c r="I13" s="15"/>
      <c r="J13" s="15"/>
      <c r="K13" s="15"/>
      <c r="L13" s="19"/>
      <c r="M13" s="25"/>
      <c r="N13" s="12"/>
      <c r="O13" s="20"/>
      <c r="P13" s="15"/>
      <c r="Q13" s="15"/>
      <c r="R13" s="15"/>
      <c r="S13" s="15"/>
      <c r="T13" s="14">
        <f>43684.52+9928.3+35741.88+6678.2+29384.08+24041.52+46552.32+31730.16+25961.04+56897.28+7211.4+12931.2</f>
        <v>330741.9</v>
      </c>
      <c r="U13" s="26" t="s">
        <v>29</v>
      </c>
      <c r="V13" s="27"/>
    </row>
    <row r="14" ht="14.25" customHeight="1">
      <c r="A14" s="9">
        <v>45663.0</v>
      </c>
      <c r="B14" s="24"/>
      <c r="C14" s="12"/>
      <c r="D14" s="11"/>
      <c r="E14" s="12">
        <f>9.5+987</f>
        <v>996.5</v>
      </c>
      <c r="F14" s="13"/>
      <c r="G14" s="14"/>
      <c r="H14" s="12"/>
      <c r="I14" s="12"/>
      <c r="J14" s="15"/>
      <c r="K14" s="15"/>
      <c r="L14" s="19"/>
      <c r="M14" s="25"/>
      <c r="N14" s="12"/>
      <c r="O14" s="25"/>
      <c r="P14" s="15"/>
      <c r="Q14" s="15"/>
      <c r="R14" s="15"/>
      <c r="S14" s="15"/>
      <c r="T14" s="14">
        <f>1799.32</f>
        <v>1799.32</v>
      </c>
      <c r="U14" s="22" t="s">
        <v>30</v>
      </c>
      <c r="V14" s="17"/>
    </row>
    <row r="15" ht="14.25" customHeight="1">
      <c r="A15" s="9">
        <v>45664.0</v>
      </c>
      <c r="C15" s="12"/>
      <c r="D15" s="11"/>
      <c r="E15" s="12">
        <f>37.84</f>
        <v>37.84</v>
      </c>
      <c r="F15" s="13"/>
      <c r="G15" s="14"/>
      <c r="H15" s="12"/>
      <c r="I15" s="12"/>
      <c r="J15" s="15"/>
      <c r="K15" s="15">
        <f>63800</f>
        <v>63800</v>
      </c>
      <c r="L15" s="19">
        <f>20104+52040+42600+77100</f>
        <v>191844</v>
      </c>
      <c r="M15" s="25"/>
      <c r="N15" s="12"/>
      <c r="O15" s="25"/>
      <c r="P15" s="15"/>
      <c r="Q15" s="15"/>
      <c r="R15" s="15"/>
      <c r="S15" s="15"/>
      <c r="T15" s="14">
        <f>2291+756</f>
        <v>3047</v>
      </c>
      <c r="U15" s="22" t="s">
        <v>31</v>
      </c>
      <c r="V15" s="17"/>
    </row>
    <row r="16" ht="14.25" customHeight="1">
      <c r="A16" s="9">
        <v>45664.0</v>
      </c>
      <c r="C16" s="11"/>
      <c r="D16" s="11"/>
      <c r="E16" s="12"/>
      <c r="F16" s="13"/>
      <c r="G16" s="14"/>
      <c r="H16" s="11"/>
      <c r="I16" s="15"/>
      <c r="J16" s="15"/>
      <c r="K16" s="15"/>
      <c r="L16" s="19"/>
      <c r="M16" s="25"/>
      <c r="N16" s="12">
        <f>87401.16+5675.4+2734.14+756+4844+600+2044+424+20431.44+35164.8</f>
        <v>160074.94</v>
      </c>
      <c r="O16" s="25"/>
      <c r="P16" s="15"/>
      <c r="Q16" s="15"/>
      <c r="R16" s="15"/>
      <c r="S16" s="15"/>
      <c r="T16" s="14">
        <f>1215</f>
        <v>1215</v>
      </c>
      <c r="U16" s="28" t="s">
        <v>32</v>
      </c>
      <c r="V16" s="17"/>
    </row>
    <row r="17" ht="14.25" customHeight="1">
      <c r="A17" s="9">
        <v>45665.0</v>
      </c>
      <c r="B17" s="14"/>
      <c r="C17" s="12"/>
      <c r="D17" s="12"/>
      <c r="E17" s="11">
        <f>7000+10.5+9.5</f>
        <v>7020</v>
      </c>
      <c r="F17" s="13"/>
      <c r="G17" s="14"/>
      <c r="H17" s="12"/>
      <c r="I17" s="12"/>
      <c r="J17" s="15"/>
      <c r="K17" s="12"/>
      <c r="L17" s="19"/>
      <c r="M17" s="25"/>
      <c r="N17" s="12"/>
      <c r="O17" s="25"/>
      <c r="P17" s="15"/>
      <c r="Q17" s="15"/>
      <c r="R17" s="11"/>
      <c r="S17" s="15"/>
      <c r="T17" s="14">
        <f>1785+90</f>
        <v>1875</v>
      </c>
      <c r="U17" s="22" t="s">
        <v>33</v>
      </c>
      <c r="V17" s="17"/>
    </row>
    <row r="18" ht="14.25" customHeight="1">
      <c r="A18" s="9">
        <v>45665.0</v>
      </c>
      <c r="C18" s="11"/>
      <c r="D18" s="11"/>
      <c r="E18" s="12">
        <f>197.4</f>
        <v>197.4</v>
      </c>
      <c r="F18" s="13"/>
      <c r="G18" s="14"/>
      <c r="H18" s="11"/>
      <c r="I18" s="15"/>
      <c r="J18" s="15"/>
      <c r="K18" s="11"/>
      <c r="L18" s="19"/>
      <c r="M18" s="25"/>
      <c r="N18" s="12"/>
      <c r="O18" s="25"/>
      <c r="P18" s="15"/>
      <c r="Q18" s="15"/>
      <c r="R18" s="15"/>
      <c r="S18" s="15"/>
      <c r="T18" s="14">
        <f>770</f>
        <v>770</v>
      </c>
      <c r="U18" s="22" t="s">
        <v>34</v>
      </c>
      <c r="V18" s="17"/>
    </row>
    <row r="19" ht="14.25" customHeight="1">
      <c r="A19" s="9">
        <v>45666.0</v>
      </c>
      <c r="C19" s="11"/>
      <c r="D19" s="12"/>
      <c r="E19" s="11">
        <f>2541+1265.39+571.5</f>
        <v>4377.89</v>
      </c>
      <c r="F19" s="13"/>
      <c r="G19" s="14"/>
      <c r="H19" s="11"/>
      <c r="I19" s="15"/>
      <c r="J19" s="15"/>
      <c r="K19" s="15"/>
      <c r="L19" s="19"/>
      <c r="M19" s="25"/>
      <c r="N19" s="12"/>
      <c r="O19" s="25"/>
      <c r="P19" s="15"/>
      <c r="Q19" s="15"/>
      <c r="R19" s="15"/>
      <c r="S19" s="15"/>
      <c r="T19" s="14">
        <f>105423.3</f>
        <v>105423.3</v>
      </c>
      <c r="U19" s="28" t="s">
        <v>35</v>
      </c>
      <c r="V19" s="17"/>
    </row>
    <row r="20" ht="14.25" customHeight="1">
      <c r="A20" s="9">
        <v>45666.0</v>
      </c>
      <c r="B20" s="10"/>
      <c r="C20" s="11"/>
      <c r="D20" s="12">
        <f>107160</f>
        <v>107160</v>
      </c>
      <c r="E20" s="12">
        <f>99.5</f>
        <v>99.5</v>
      </c>
      <c r="F20" s="13"/>
      <c r="G20" s="14"/>
      <c r="H20" s="11"/>
      <c r="I20" s="15"/>
      <c r="J20" s="15"/>
      <c r="K20" s="15"/>
      <c r="L20" s="19"/>
      <c r="M20" s="25"/>
      <c r="N20" s="12">
        <f>6904.8</f>
        <v>6904.8</v>
      </c>
      <c r="O20" s="25"/>
      <c r="P20" s="15"/>
      <c r="Q20" s="15"/>
      <c r="R20" s="15"/>
      <c r="S20" s="15"/>
      <c r="T20" s="14">
        <f>2875+1445</f>
        <v>4320</v>
      </c>
      <c r="U20" s="28" t="s">
        <v>36</v>
      </c>
      <c r="V20" s="17"/>
    </row>
    <row r="21" ht="14.25" customHeight="1">
      <c r="A21" s="9">
        <v>45667.0</v>
      </c>
      <c r="B21" s="24"/>
      <c r="C21" s="11"/>
      <c r="D21" s="12"/>
      <c r="E21" s="11">
        <f>3330.51+45.24+886.39</f>
        <v>4262.14</v>
      </c>
      <c r="F21" s="13"/>
      <c r="G21" s="14"/>
      <c r="H21" s="11"/>
      <c r="I21" s="15"/>
      <c r="J21" s="15"/>
      <c r="K21" s="15"/>
      <c r="L21" s="19"/>
      <c r="M21" s="25"/>
      <c r="N21" s="12"/>
      <c r="O21" s="25"/>
      <c r="P21" s="15"/>
      <c r="Q21" s="15"/>
      <c r="R21" s="15"/>
      <c r="S21" s="15"/>
      <c r="T21" s="14">
        <f>720</f>
        <v>720</v>
      </c>
      <c r="U21" s="28" t="s">
        <v>37</v>
      </c>
    </row>
    <row r="22" ht="14.25" customHeight="1">
      <c r="A22" s="9">
        <v>45667.0</v>
      </c>
      <c r="B22" s="24"/>
      <c r="C22" s="11"/>
      <c r="D22" s="12"/>
      <c r="E22" s="12">
        <f>150+35+493.5+98.7</f>
        <v>777.2</v>
      </c>
      <c r="F22" s="13"/>
      <c r="G22" s="14"/>
      <c r="H22" s="11"/>
      <c r="I22" s="15"/>
      <c r="J22" s="15"/>
      <c r="K22" s="15"/>
      <c r="L22" s="19"/>
      <c r="M22" s="25"/>
      <c r="N22" s="12"/>
      <c r="O22" s="25"/>
      <c r="P22" s="15"/>
      <c r="Q22" s="15"/>
      <c r="R22" s="15"/>
      <c r="S22" s="15"/>
      <c r="T22" s="29">
        <v>38125.0</v>
      </c>
      <c r="U22" s="22" t="s">
        <v>38</v>
      </c>
    </row>
    <row r="23" ht="18.75" customHeight="1">
      <c r="A23" s="9">
        <v>45668.0</v>
      </c>
      <c r="B23" s="30"/>
      <c r="C23" s="12"/>
      <c r="D23" s="12"/>
      <c r="E23" s="12">
        <f>149.5+1000</f>
        <v>1149.5</v>
      </c>
      <c r="F23" s="13"/>
      <c r="G23" s="14"/>
      <c r="H23" s="12"/>
      <c r="I23" s="15"/>
      <c r="J23" s="15"/>
      <c r="K23" s="15"/>
      <c r="L23" s="19"/>
      <c r="M23" s="25"/>
      <c r="N23" s="31">
        <v>4770.0</v>
      </c>
      <c r="O23" s="25"/>
      <c r="P23" s="15"/>
      <c r="Q23" s="15"/>
      <c r="R23" s="15"/>
      <c r="S23" s="15"/>
      <c r="T23" s="14">
        <f>78300</f>
        <v>78300</v>
      </c>
      <c r="U23" s="32" t="s">
        <v>39</v>
      </c>
    </row>
    <row r="24" ht="14.25" customHeight="1">
      <c r="A24" s="9">
        <v>45668.0</v>
      </c>
      <c r="B24" s="30"/>
      <c r="C24" s="12"/>
      <c r="D24" s="12"/>
      <c r="E24" s="11">
        <f>765.55+1082+276.17</f>
        <v>2123.72</v>
      </c>
      <c r="F24" s="13"/>
      <c r="G24" s="14"/>
      <c r="H24" s="11"/>
      <c r="I24" s="15"/>
      <c r="J24" s="15"/>
      <c r="K24" s="15"/>
      <c r="L24" s="19"/>
      <c r="M24" s="25"/>
      <c r="N24" s="12"/>
      <c r="O24" s="25"/>
      <c r="P24" s="11"/>
      <c r="Q24" s="15"/>
      <c r="R24" s="15"/>
      <c r="S24" s="15"/>
      <c r="T24" s="29">
        <v>46000.0</v>
      </c>
      <c r="U24" s="22" t="s">
        <v>40</v>
      </c>
    </row>
    <row r="25" ht="14.25" customHeight="1">
      <c r="A25" s="9">
        <v>45669.0</v>
      </c>
      <c r="B25" s="30"/>
      <c r="C25" s="12"/>
      <c r="D25" s="12"/>
      <c r="E25" s="12">
        <f>700+0.5</f>
        <v>700.5</v>
      </c>
      <c r="F25" s="13"/>
      <c r="G25" s="14"/>
      <c r="H25" s="11"/>
      <c r="I25" s="15"/>
      <c r="J25" s="15"/>
      <c r="K25" s="15"/>
      <c r="L25" s="19"/>
      <c r="M25" s="12"/>
      <c r="N25" s="12"/>
      <c r="O25" s="25"/>
      <c r="P25" s="11"/>
      <c r="Q25" s="15"/>
      <c r="R25" s="11"/>
      <c r="S25" s="15"/>
      <c r="T25" s="29">
        <v>6750.0</v>
      </c>
      <c r="U25" s="33" t="s">
        <v>41</v>
      </c>
    </row>
    <row r="26" ht="14.25" customHeight="1">
      <c r="A26" s="9">
        <v>45669.0</v>
      </c>
      <c r="B26" s="24"/>
      <c r="C26" s="11"/>
      <c r="D26" s="12"/>
      <c r="E26" s="12">
        <f>3120.43</f>
        <v>3120.43</v>
      </c>
      <c r="F26" s="13"/>
      <c r="G26" s="14"/>
      <c r="H26" s="12"/>
      <c r="I26" s="15"/>
      <c r="J26" s="15"/>
      <c r="K26" s="15"/>
      <c r="L26" s="19"/>
      <c r="M26" s="12"/>
      <c r="N26" s="12"/>
      <c r="O26" s="25"/>
      <c r="P26" s="15"/>
      <c r="Q26" s="15"/>
      <c r="R26" s="15"/>
      <c r="S26" s="15"/>
      <c r="T26" s="29">
        <v>2097.46</v>
      </c>
      <c r="U26" s="33" t="s">
        <v>42</v>
      </c>
    </row>
    <row r="27" ht="14.25" customHeight="1">
      <c r="A27" s="9">
        <v>45670.0</v>
      </c>
      <c r="C27" s="11"/>
      <c r="D27" s="12"/>
      <c r="E27" s="11">
        <f>100+149.5+9.5</f>
        <v>259</v>
      </c>
      <c r="F27" s="13"/>
      <c r="G27" s="14"/>
      <c r="H27" s="11"/>
      <c r="I27" s="15"/>
      <c r="J27" s="15"/>
      <c r="K27" s="15">
        <f>47600</f>
        <v>47600</v>
      </c>
      <c r="L27" s="19">
        <f>34880+24680+43460+34860</f>
        <v>137880</v>
      </c>
      <c r="M27" s="12"/>
      <c r="N27" s="12">
        <f>1003.46</f>
        <v>1003.46</v>
      </c>
      <c r="O27" s="25"/>
      <c r="P27" s="15"/>
      <c r="Q27" s="15"/>
      <c r="R27" s="15"/>
      <c r="S27" s="15"/>
      <c r="T27" s="14"/>
      <c r="U27" s="10"/>
    </row>
    <row r="28" ht="14.25" customHeight="1">
      <c r="A28" s="9">
        <v>45670.0</v>
      </c>
      <c r="C28" s="11"/>
      <c r="D28" s="12"/>
      <c r="E28" s="11">
        <f>4088.01+1675.29</f>
        <v>5763.3</v>
      </c>
      <c r="F28" s="13"/>
      <c r="G28" s="14"/>
      <c r="H28" s="11"/>
      <c r="I28" s="15"/>
      <c r="J28" s="15"/>
      <c r="K28" s="15"/>
      <c r="L28" s="19"/>
      <c r="M28" s="12"/>
      <c r="N28" s="12"/>
      <c r="O28" s="25"/>
      <c r="P28" s="15"/>
      <c r="Q28" s="15"/>
      <c r="R28" s="15"/>
      <c r="S28" s="15"/>
      <c r="T28" s="14"/>
      <c r="U28" s="21"/>
    </row>
    <row r="29" ht="14.25" customHeight="1">
      <c r="A29" s="9">
        <v>45671.0</v>
      </c>
      <c r="C29" s="11"/>
      <c r="D29" s="12"/>
      <c r="E29" s="11">
        <f>24.5+0.5+49.5</f>
        <v>74.5</v>
      </c>
      <c r="F29" s="13"/>
      <c r="G29" s="14"/>
      <c r="H29" s="11"/>
      <c r="I29" s="15"/>
      <c r="J29" s="15"/>
      <c r="K29" s="15"/>
      <c r="L29" s="19"/>
      <c r="M29" s="12"/>
      <c r="N29" s="12"/>
      <c r="O29" s="25"/>
      <c r="P29" s="15"/>
      <c r="Q29" s="15"/>
      <c r="R29" s="15"/>
      <c r="S29" s="15"/>
      <c r="T29" s="14"/>
      <c r="U29" s="10"/>
    </row>
    <row r="30" ht="14.25" customHeight="1">
      <c r="A30" s="9">
        <v>45671.0</v>
      </c>
      <c r="B30" s="14"/>
      <c r="C30" s="12"/>
      <c r="D30" s="12"/>
      <c r="E30" s="12">
        <f>898.23+1181.18+227.71</f>
        <v>2307.12</v>
      </c>
      <c r="F30" s="13"/>
      <c r="G30" s="14"/>
      <c r="H30" s="11"/>
      <c r="I30" s="15"/>
      <c r="J30" s="15"/>
      <c r="K30" s="15"/>
      <c r="L30" s="19"/>
      <c r="M30" s="12"/>
      <c r="N30" s="12"/>
      <c r="O30" s="25"/>
      <c r="P30" s="15"/>
      <c r="Q30" s="15"/>
      <c r="R30" s="15"/>
      <c r="S30" s="15"/>
      <c r="T30" s="14"/>
      <c r="U30" s="10"/>
    </row>
    <row r="31" ht="14.25" customHeight="1">
      <c r="A31" s="9">
        <v>45672.0</v>
      </c>
      <c r="B31" s="24"/>
      <c r="C31" s="11"/>
      <c r="D31" s="12"/>
      <c r="E31" s="12">
        <f>0.5+199.5</f>
        <v>200</v>
      </c>
      <c r="F31" s="13"/>
      <c r="G31" s="14"/>
      <c r="H31" s="12"/>
      <c r="I31" s="15"/>
      <c r="J31" s="15"/>
      <c r="K31" s="15"/>
      <c r="L31" s="19"/>
      <c r="M31" s="12"/>
      <c r="N31" s="12">
        <f>1760+14236.4+1730+3024.72</f>
        <v>20751.12</v>
      </c>
      <c r="O31" s="12"/>
      <c r="P31" s="15"/>
      <c r="Q31" s="15"/>
      <c r="R31" s="15"/>
      <c r="S31" s="15"/>
      <c r="T31" s="10"/>
    </row>
    <row r="32" ht="14.25" customHeight="1">
      <c r="A32" s="9">
        <v>45672.0</v>
      </c>
      <c r="B32" s="24"/>
      <c r="C32" s="11"/>
      <c r="D32" s="12"/>
      <c r="E32" s="11">
        <f>882.9</f>
        <v>882.9</v>
      </c>
      <c r="F32" s="13"/>
      <c r="G32" s="14"/>
      <c r="H32" s="11"/>
      <c r="I32" s="15"/>
      <c r="J32" s="15"/>
      <c r="K32" s="15"/>
      <c r="L32" s="19"/>
      <c r="M32" s="12"/>
      <c r="N32" s="12"/>
      <c r="O32" s="12"/>
      <c r="P32" s="15"/>
      <c r="Q32" s="15"/>
      <c r="R32" s="15"/>
      <c r="S32" s="15"/>
      <c r="T32" s="10"/>
      <c r="U32" s="10"/>
    </row>
    <row r="33" ht="14.25" customHeight="1">
      <c r="A33" s="9">
        <v>45673.0</v>
      </c>
      <c r="B33" s="34" t="s">
        <v>43</v>
      </c>
      <c r="C33" s="12">
        <f>50140</f>
        <v>50140</v>
      </c>
      <c r="D33" s="12"/>
      <c r="E33" s="12">
        <f>100+2277+9.5+9.5</f>
        <v>2396</v>
      </c>
      <c r="F33" s="13"/>
      <c r="G33" s="14"/>
      <c r="H33" s="11">
        <f>605</f>
        <v>605</v>
      </c>
      <c r="I33" s="15"/>
      <c r="J33" s="15"/>
      <c r="K33" s="15"/>
      <c r="L33" s="19"/>
      <c r="M33" s="12"/>
      <c r="N33" s="12"/>
      <c r="O33" s="15"/>
      <c r="P33" s="15"/>
      <c r="Q33" s="15"/>
      <c r="R33" s="15"/>
      <c r="S33" s="15"/>
      <c r="U33" s="21"/>
    </row>
    <row r="34" ht="14.25" customHeight="1">
      <c r="A34" s="9">
        <v>45673.0</v>
      </c>
      <c r="B34" s="24"/>
      <c r="C34" s="12"/>
      <c r="D34" s="12"/>
      <c r="E34" s="11">
        <f>1074.82+28.74</f>
        <v>1103.56</v>
      </c>
      <c r="F34" s="13"/>
      <c r="G34" s="14"/>
      <c r="H34" s="12"/>
      <c r="I34" s="15"/>
      <c r="J34" s="15"/>
      <c r="K34" s="12"/>
      <c r="L34" s="35"/>
      <c r="M34" s="12"/>
      <c r="N34" s="12"/>
      <c r="O34" s="15"/>
      <c r="P34" s="15"/>
      <c r="Q34" s="15"/>
      <c r="R34" s="15"/>
      <c r="S34" s="15"/>
      <c r="T34" s="10"/>
      <c r="U34" s="21"/>
    </row>
    <row r="35" ht="14.25" customHeight="1">
      <c r="A35" s="9">
        <v>45674.0</v>
      </c>
      <c r="B35" s="34" t="s">
        <v>44</v>
      </c>
      <c r="C35" s="12">
        <f>433.2</f>
        <v>433.2</v>
      </c>
      <c r="D35" s="12"/>
      <c r="E35" s="11">
        <f>300</f>
        <v>300</v>
      </c>
      <c r="F35" s="13"/>
      <c r="G35" s="14"/>
      <c r="H35" s="11"/>
      <c r="I35" s="15"/>
      <c r="J35" s="15"/>
      <c r="K35" s="15">
        <f>50140</f>
        <v>50140</v>
      </c>
      <c r="L35" s="19"/>
      <c r="M35" s="12"/>
      <c r="N35" s="12">
        <f>4800.38</f>
        <v>4800.38</v>
      </c>
      <c r="O35" s="15"/>
      <c r="P35" s="15"/>
      <c r="Q35" s="15"/>
      <c r="R35" s="11"/>
      <c r="S35" s="15"/>
      <c r="T35" s="10"/>
      <c r="U35" s="10"/>
    </row>
    <row r="36" ht="14.25" customHeight="1">
      <c r="A36" s="9">
        <v>45674.0</v>
      </c>
      <c r="B36" s="24"/>
      <c r="C36" s="11"/>
      <c r="D36" s="12"/>
      <c r="E36" s="11">
        <f>1531.73</f>
        <v>1531.73</v>
      </c>
      <c r="F36" s="13"/>
      <c r="G36" s="14"/>
      <c r="H36" s="11"/>
      <c r="I36" s="15"/>
      <c r="J36" s="15"/>
      <c r="K36" s="15"/>
      <c r="L36" s="19"/>
      <c r="M36" s="12"/>
      <c r="N36" s="12"/>
      <c r="O36" s="15"/>
      <c r="P36" s="11"/>
      <c r="Q36" s="15"/>
      <c r="R36" s="11"/>
      <c r="S36" s="15"/>
      <c r="T36" s="10"/>
      <c r="U36" s="10"/>
    </row>
    <row r="37" ht="14.25" customHeight="1">
      <c r="A37" s="9">
        <v>45675.0</v>
      </c>
      <c r="B37" s="24"/>
      <c r="C37" s="11"/>
      <c r="D37" s="12"/>
      <c r="E37" s="11">
        <f>0.5+9.5+0.5+0.5</f>
        <v>11</v>
      </c>
      <c r="F37" s="13"/>
      <c r="G37" s="14"/>
      <c r="H37" s="11"/>
      <c r="I37" s="15"/>
      <c r="J37" s="15"/>
      <c r="K37" s="15"/>
      <c r="L37" s="19"/>
      <c r="M37" s="12"/>
      <c r="N37" s="12"/>
      <c r="O37" s="15"/>
      <c r="P37" s="15"/>
      <c r="Q37" s="15"/>
      <c r="R37" s="15"/>
      <c r="S37" s="15"/>
      <c r="T37" s="10"/>
      <c r="U37" s="10"/>
    </row>
    <row r="38" ht="14.25" customHeight="1">
      <c r="A38" s="9">
        <v>45675.0</v>
      </c>
      <c r="B38" s="24"/>
      <c r="C38" s="11"/>
      <c r="D38" s="12"/>
      <c r="E38" s="12">
        <f>2215.96</f>
        <v>2215.96</v>
      </c>
      <c r="F38" s="13"/>
      <c r="G38" s="14"/>
      <c r="H38" s="12"/>
      <c r="I38" s="15"/>
      <c r="J38" s="15"/>
      <c r="K38" s="12"/>
      <c r="L38" s="19"/>
      <c r="M38" s="15"/>
      <c r="N38" s="15"/>
      <c r="O38" s="15"/>
      <c r="P38" s="15"/>
      <c r="Q38" s="15"/>
      <c r="R38" s="15"/>
      <c r="S38" s="15"/>
      <c r="U38" s="21"/>
    </row>
    <row r="39" ht="14.25" customHeight="1">
      <c r="A39" s="9">
        <v>45676.0</v>
      </c>
      <c r="B39" s="24"/>
      <c r="C39" s="11"/>
      <c r="D39" s="11"/>
      <c r="E39" s="11">
        <f>1493.98+274.12+389.01</f>
        <v>2157.11</v>
      </c>
      <c r="F39" s="13"/>
      <c r="G39" s="14"/>
      <c r="H39" s="11"/>
      <c r="I39" s="15"/>
      <c r="J39" s="15"/>
      <c r="K39" s="15"/>
      <c r="L39" s="16"/>
      <c r="M39" s="15"/>
      <c r="N39" s="15"/>
      <c r="O39" s="15"/>
      <c r="P39" s="15"/>
      <c r="Q39" s="15"/>
      <c r="R39" s="15"/>
      <c r="S39" s="15"/>
      <c r="T39" s="10"/>
      <c r="U39" s="10"/>
    </row>
    <row r="40" ht="14.25" customHeight="1">
      <c r="A40" s="9">
        <v>45676.0</v>
      </c>
      <c r="B40" s="24"/>
      <c r="C40" s="11"/>
      <c r="D40" s="11"/>
      <c r="E40" s="11">
        <f>49.35+200+2000+200+493.5+197.4+987</f>
        <v>4127.25</v>
      </c>
      <c r="F40" s="13"/>
      <c r="H40" s="11"/>
      <c r="I40" s="15"/>
      <c r="J40" s="15"/>
      <c r="K40" s="15"/>
      <c r="L40" s="16"/>
      <c r="M40" s="15"/>
      <c r="N40" s="15"/>
      <c r="O40" s="15"/>
      <c r="P40" s="15"/>
      <c r="Q40" s="15"/>
      <c r="R40" s="15"/>
      <c r="S40" s="15"/>
    </row>
    <row r="41" ht="14.25" customHeight="1">
      <c r="A41" s="9">
        <v>45677.0</v>
      </c>
      <c r="B41" s="24"/>
      <c r="C41" s="11"/>
      <c r="D41" s="11"/>
      <c r="E41" s="11">
        <f>4.5+299.5</f>
        <v>304</v>
      </c>
      <c r="F41" s="13"/>
      <c r="H41" s="11"/>
      <c r="I41" s="15"/>
      <c r="J41" s="15"/>
      <c r="K41" s="15"/>
      <c r="L41" s="16"/>
      <c r="M41" s="15"/>
      <c r="N41" s="15"/>
      <c r="O41" s="15"/>
      <c r="P41" s="15"/>
      <c r="Q41" s="15"/>
      <c r="R41" s="15"/>
      <c r="S41" s="15"/>
    </row>
    <row r="42" ht="14.25" customHeight="1">
      <c r="A42" s="9">
        <v>45677.0</v>
      </c>
      <c r="B42" s="24"/>
      <c r="C42" s="11"/>
      <c r="D42" s="11"/>
      <c r="E42" s="11">
        <f>719.33+224.11+251.53</f>
        <v>1194.97</v>
      </c>
      <c r="F42" s="13"/>
      <c r="H42" s="11"/>
      <c r="I42" s="15"/>
      <c r="J42" s="15"/>
      <c r="K42" s="15"/>
      <c r="L42" s="16"/>
      <c r="M42" s="15"/>
      <c r="N42" s="15"/>
      <c r="O42" s="15"/>
      <c r="P42" s="15"/>
      <c r="Q42" s="15"/>
      <c r="R42" s="15"/>
      <c r="S42" s="15"/>
    </row>
    <row r="43" ht="14.25" customHeight="1">
      <c r="A43" s="9">
        <v>45678.0</v>
      </c>
      <c r="B43" s="24"/>
      <c r="C43" s="11"/>
      <c r="D43" s="11"/>
      <c r="E43" s="11">
        <f>499.5+0.5</f>
        <v>500</v>
      </c>
      <c r="F43" s="13"/>
      <c r="H43" s="11"/>
      <c r="I43" s="15"/>
      <c r="J43" s="15"/>
      <c r="K43" s="15"/>
      <c r="L43" s="16">
        <f>27020</f>
        <v>27020</v>
      </c>
      <c r="M43" s="15"/>
      <c r="N43" s="15">
        <f>1855.94+2821</f>
        <v>4676.94</v>
      </c>
      <c r="O43" s="15"/>
      <c r="P43" s="15"/>
      <c r="Q43" s="15"/>
      <c r="R43" s="15"/>
      <c r="S43" s="15"/>
    </row>
    <row r="44" ht="14.25" customHeight="1">
      <c r="A44" s="9">
        <v>45678.0</v>
      </c>
      <c r="B44" s="24"/>
      <c r="C44" s="11"/>
      <c r="D44" s="11"/>
      <c r="E44" s="11">
        <f>93.12</f>
        <v>93.12</v>
      </c>
      <c r="F44" s="13"/>
      <c r="H44" s="11"/>
      <c r="I44" s="15"/>
      <c r="J44" s="15"/>
      <c r="K44" s="15"/>
      <c r="L44" s="16"/>
      <c r="M44" s="15"/>
      <c r="N44" s="15"/>
      <c r="O44" s="15"/>
      <c r="P44" s="15"/>
      <c r="Q44" s="15"/>
      <c r="R44" s="15"/>
      <c r="S44" s="15"/>
    </row>
    <row r="45" ht="14.25" customHeight="1">
      <c r="A45" s="9">
        <v>45679.0</v>
      </c>
      <c r="B45" s="34" t="s">
        <v>44</v>
      </c>
      <c r="C45" s="36">
        <v>2182.1</v>
      </c>
      <c r="D45" s="11"/>
      <c r="E45" s="11">
        <f>987+100+197.4+1095.57</f>
        <v>2379.97</v>
      </c>
      <c r="F45" s="13"/>
      <c r="H45" s="11"/>
      <c r="I45" s="15"/>
      <c r="J45" s="15"/>
      <c r="K45" s="15"/>
      <c r="L45" s="16"/>
      <c r="M45" s="15"/>
      <c r="N45" s="15"/>
      <c r="O45" s="15"/>
      <c r="P45" s="15"/>
      <c r="Q45" s="15"/>
      <c r="R45" s="15"/>
      <c r="S45" s="15"/>
    </row>
    <row r="46" ht="14.25" customHeight="1">
      <c r="A46" s="9">
        <v>45679.0</v>
      </c>
      <c r="B46" s="24"/>
      <c r="C46" s="11"/>
      <c r="D46" s="11"/>
      <c r="E46" s="11">
        <f>98.7+493.5+4935+530.35</f>
        <v>6057.55</v>
      </c>
      <c r="F46" s="13"/>
      <c r="H46" s="11"/>
      <c r="I46" s="15"/>
      <c r="J46" s="15"/>
      <c r="K46" s="11"/>
      <c r="L46" s="16"/>
      <c r="M46" s="15"/>
      <c r="N46" s="15"/>
      <c r="O46" s="15"/>
      <c r="P46" s="15"/>
      <c r="Q46" s="15"/>
      <c r="R46" s="15"/>
      <c r="S46" s="15"/>
    </row>
    <row r="47" ht="14.25" customHeight="1">
      <c r="A47" s="9">
        <v>45680.0</v>
      </c>
      <c r="B47" s="24"/>
      <c r="C47" s="11"/>
      <c r="D47" s="11"/>
      <c r="E47" s="11">
        <f>9.5</f>
        <v>9.5</v>
      </c>
      <c r="F47" s="13"/>
      <c r="H47" s="11"/>
      <c r="I47" s="15"/>
      <c r="J47" s="15"/>
      <c r="K47" s="15"/>
      <c r="L47" s="16"/>
      <c r="M47" s="15"/>
      <c r="N47" s="15">
        <f>756+1172+18094+9000</f>
        <v>29022</v>
      </c>
      <c r="O47" s="15"/>
      <c r="P47" s="15"/>
      <c r="Q47" s="15"/>
      <c r="R47" s="15"/>
      <c r="S47" s="15"/>
    </row>
    <row r="48" ht="14.25" customHeight="1">
      <c r="A48" s="9">
        <v>45680.0</v>
      </c>
      <c r="B48" s="24"/>
      <c r="C48" s="11"/>
      <c r="D48" s="11"/>
      <c r="E48" s="11">
        <f>4533.44+562.81+219.37</f>
        <v>5315.62</v>
      </c>
      <c r="F48" s="13"/>
      <c r="H48" s="11"/>
      <c r="I48" s="15"/>
      <c r="J48" s="15"/>
      <c r="K48" s="15"/>
      <c r="L48" s="16"/>
      <c r="M48" s="15"/>
      <c r="N48" s="15"/>
      <c r="O48" s="15"/>
      <c r="P48" s="15"/>
      <c r="Q48" s="15"/>
      <c r="R48" s="11"/>
      <c r="S48" s="15"/>
    </row>
    <row r="49" ht="14.25" customHeight="1">
      <c r="A49" s="9">
        <v>45681.0</v>
      </c>
      <c r="B49" s="24"/>
      <c r="C49" s="11"/>
      <c r="D49" s="11">
        <f>5000+9.5+0.5+1400</f>
        <v>6410</v>
      </c>
      <c r="E49" s="11">
        <f>500+49.35+493.5+200</f>
        <v>1242.85</v>
      </c>
      <c r="F49" s="13"/>
      <c r="H49" s="11"/>
      <c r="I49" s="15"/>
      <c r="J49" s="15"/>
      <c r="K49" s="15">
        <f>25159</f>
        <v>25159</v>
      </c>
      <c r="L49" s="16"/>
      <c r="M49" s="15"/>
      <c r="N49" s="15"/>
      <c r="O49" s="15"/>
      <c r="P49" s="15"/>
      <c r="Q49" s="15"/>
      <c r="R49" s="15"/>
      <c r="S49" s="15"/>
    </row>
    <row r="50" ht="14.25" customHeight="1">
      <c r="A50" s="9">
        <v>45681.0</v>
      </c>
      <c r="B50" s="24"/>
      <c r="C50" s="11"/>
      <c r="D50" s="11"/>
      <c r="E50" s="11">
        <f>2179.51+298.45+39.74</f>
        <v>2517.7</v>
      </c>
      <c r="F50" s="13"/>
      <c r="H50" s="11"/>
      <c r="I50" s="15"/>
      <c r="J50" s="15"/>
      <c r="K50" s="15"/>
      <c r="L50" s="16"/>
      <c r="M50" s="15"/>
      <c r="N50" s="15"/>
      <c r="O50" s="15"/>
      <c r="P50" s="15"/>
      <c r="Q50" s="15"/>
      <c r="R50" s="15"/>
      <c r="S50" s="15"/>
    </row>
    <row r="51" ht="14.25" customHeight="1">
      <c r="A51" s="9">
        <v>45682.0</v>
      </c>
      <c r="B51" s="24"/>
      <c r="C51" s="11"/>
      <c r="D51" s="11">
        <f>199.5+999.5+0.5+0.5+0.5+10.5+99.5+9.5</f>
        <v>1320</v>
      </c>
      <c r="E51" s="11">
        <f>13039.5</f>
        <v>13039.5</v>
      </c>
      <c r="F51" s="13"/>
      <c r="H51" s="11"/>
      <c r="I51" s="15"/>
      <c r="J51" s="15"/>
      <c r="K51" s="15"/>
      <c r="L51" s="16"/>
      <c r="M51" s="11"/>
      <c r="N51" s="15"/>
      <c r="O51" s="15"/>
      <c r="P51" s="15"/>
      <c r="Q51" s="15"/>
      <c r="R51" s="11"/>
      <c r="S51" s="15"/>
    </row>
    <row r="52" ht="14.25" customHeight="1">
      <c r="A52" s="9">
        <v>45682.0</v>
      </c>
      <c r="B52" s="24"/>
      <c r="C52" s="11"/>
      <c r="D52" s="11"/>
      <c r="E52" s="11">
        <f>1396.5+1149.29+527.11</f>
        <v>3072.9</v>
      </c>
      <c r="F52" s="13"/>
      <c r="H52" s="11">
        <f>6700+10500+2500+4700</f>
        <v>24400</v>
      </c>
      <c r="I52" s="15"/>
      <c r="J52" s="15"/>
      <c r="K52" s="15"/>
      <c r="L52" s="16"/>
      <c r="M52" s="15"/>
      <c r="N52" s="15"/>
      <c r="O52" s="15"/>
      <c r="P52" s="15"/>
      <c r="Q52" s="15"/>
      <c r="R52" s="15"/>
      <c r="S52" s="15"/>
    </row>
    <row r="53" ht="14.25" customHeight="1">
      <c r="A53" s="9">
        <v>45683.0</v>
      </c>
      <c r="B53" s="24"/>
      <c r="C53" s="11"/>
      <c r="D53" s="11"/>
      <c r="E53" s="11">
        <f>199.5</f>
        <v>199.5</v>
      </c>
      <c r="F53" s="13"/>
      <c r="H53" s="11"/>
      <c r="I53" s="15"/>
      <c r="J53" s="15"/>
      <c r="K53" s="15"/>
      <c r="L53" s="16"/>
      <c r="M53" s="15"/>
      <c r="N53" s="15"/>
      <c r="O53" s="15"/>
      <c r="P53" s="15"/>
      <c r="Q53" s="15"/>
      <c r="R53" s="15"/>
      <c r="S53" s="15"/>
    </row>
    <row r="54" ht="14.25" customHeight="1">
      <c r="A54" s="9">
        <v>45683.0</v>
      </c>
      <c r="B54" s="24"/>
      <c r="C54" s="11"/>
      <c r="D54" s="11"/>
      <c r="E54" s="11">
        <f>1885.63+808.78</f>
        <v>2694.41</v>
      </c>
      <c r="F54" s="13"/>
      <c r="H54" s="11"/>
      <c r="I54" s="15"/>
      <c r="J54" s="15"/>
      <c r="K54" s="15"/>
      <c r="L54" s="16"/>
      <c r="M54" s="15"/>
      <c r="N54" s="15"/>
      <c r="O54" s="15"/>
      <c r="P54" s="15"/>
      <c r="Q54" s="15"/>
      <c r="R54" s="15"/>
      <c r="S54" s="15"/>
    </row>
    <row r="55" ht="14.25" customHeight="1">
      <c r="A55" s="9">
        <v>45684.0</v>
      </c>
      <c r="B55" s="24"/>
      <c r="C55" s="11"/>
      <c r="D55" s="11"/>
      <c r="E55" s="11">
        <f>249.5+199.5+300.5+0.5+499.5</f>
        <v>1249.5</v>
      </c>
      <c r="F55" s="13"/>
      <c r="H55" s="11">
        <f>131750</f>
        <v>131750</v>
      </c>
      <c r="I55" s="15"/>
      <c r="J55" s="15"/>
      <c r="K55" s="15"/>
      <c r="L55" s="16"/>
      <c r="M55" s="15"/>
      <c r="N55" s="15"/>
      <c r="O55" s="15"/>
      <c r="P55" s="15"/>
      <c r="Q55" s="15"/>
      <c r="R55" s="15"/>
      <c r="S55" s="15"/>
    </row>
    <row r="56" ht="14.25" customHeight="1">
      <c r="A56" s="9">
        <v>45684.0</v>
      </c>
      <c r="B56" s="24"/>
      <c r="C56" s="11"/>
      <c r="D56" s="11"/>
      <c r="E56" s="11">
        <f>1908.47+327.88</f>
        <v>2236.35</v>
      </c>
      <c r="F56" s="13"/>
      <c r="H56" s="11"/>
      <c r="I56" s="15"/>
      <c r="J56" s="15"/>
      <c r="K56" s="15"/>
      <c r="L56" s="16">
        <f>13040</f>
        <v>13040</v>
      </c>
      <c r="M56" s="15"/>
      <c r="N56" s="15">
        <f>756+15300</f>
        <v>16056</v>
      </c>
      <c r="O56" s="15"/>
      <c r="P56" s="15"/>
      <c r="Q56" s="15"/>
      <c r="R56" s="15"/>
      <c r="S56" s="15"/>
    </row>
    <row r="57" ht="14.25" customHeight="1">
      <c r="A57" s="9">
        <v>45685.0</v>
      </c>
      <c r="B57" s="24"/>
      <c r="C57" s="11"/>
      <c r="D57" s="11"/>
      <c r="E57" s="11">
        <f>1100+0.5+0.5+100</f>
        <v>1201</v>
      </c>
      <c r="F57" s="13"/>
      <c r="H57" s="11"/>
      <c r="I57" s="15"/>
      <c r="J57" s="15"/>
      <c r="K57" s="15"/>
      <c r="L57" s="16"/>
      <c r="M57" s="15"/>
      <c r="N57" s="15"/>
      <c r="O57" s="15"/>
      <c r="P57" s="15"/>
      <c r="Q57" s="15"/>
      <c r="R57" s="15"/>
      <c r="S57" s="15"/>
    </row>
    <row r="58" ht="14.25" customHeight="1">
      <c r="A58" s="9">
        <v>45685.0</v>
      </c>
      <c r="B58" s="24"/>
      <c r="C58" s="11"/>
      <c r="D58" s="11"/>
      <c r="E58" s="11">
        <f>343.59+19.72</f>
        <v>363.31</v>
      </c>
      <c r="F58" s="13"/>
      <c r="H58" s="11"/>
      <c r="I58" s="15"/>
      <c r="J58" s="15"/>
      <c r="K58" s="15"/>
      <c r="L58" s="16"/>
      <c r="M58" s="15"/>
      <c r="N58" s="15"/>
      <c r="O58" s="15"/>
      <c r="P58" s="15"/>
      <c r="Q58" s="15"/>
      <c r="R58" s="15"/>
      <c r="S58" s="15"/>
    </row>
    <row r="59" ht="14.25" customHeight="1">
      <c r="A59" s="9">
        <v>45686.0</v>
      </c>
      <c r="B59" s="24"/>
      <c r="C59" s="11"/>
      <c r="D59" s="11"/>
      <c r="E59" s="36">
        <v>9.38</v>
      </c>
      <c r="F59" s="13"/>
      <c r="H59" s="11">
        <f>197615</f>
        <v>197615</v>
      </c>
      <c r="I59" s="15"/>
      <c r="J59" s="15"/>
      <c r="K59" s="15"/>
      <c r="L59" s="16"/>
      <c r="M59" s="15"/>
      <c r="N59" s="15"/>
      <c r="O59" s="15"/>
      <c r="P59" s="11"/>
      <c r="Q59" s="15"/>
      <c r="R59" s="11"/>
      <c r="S59" s="15"/>
    </row>
    <row r="60" ht="14.25" customHeight="1">
      <c r="A60" s="9">
        <v>45686.0</v>
      </c>
      <c r="B60" s="24"/>
      <c r="C60" s="11"/>
      <c r="D60" s="11"/>
      <c r="E60" s="11">
        <f>0.44</f>
        <v>0.44</v>
      </c>
      <c r="F60" s="13"/>
      <c r="H60" s="11"/>
      <c r="I60" s="15"/>
      <c r="J60" s="15"/>
      <c r="K60" s="15"/>
      <c r="L60" s="16"/>
      <c r="M60" s="15"/>
      <c r="N60" s="15"/>
      <c r="O60" s="15"/>
      <c r="P60" s="15"/>
      <c r="Q60" s="15"/>
      <c r="R60" s="15"/>
      <c r="S60" s="15"/>
    </row>
    <row r="61" ht="14.25" customHeight="1">
      <c r="A61" s="9">
        <v>45687.0</v>
      </c>
      <c r="B61" s="24"/>
      <c r="C61" s="11"/>
      <c r="D61" s="11">
        <f>25199.5+500+100</f>
        <v>25799.5</v>
      </c>
      <c r="E61" s="11">
        <f>1148.84+1025.5+1025.5+81.67+4102.83+1990.16+1148.84+2051.41+4063.66+378.78+985.91</f>
        <v>18003.1</v>
      </c>
      <c r="F61" s="13"/>
      <c r="H61" s="11"/>
      <c r="I61" s="15"/>
      <c r="J61" s="15"/>
      <c r="K61" s="15"/>
      <c r="L61" s="16"/>
      <c r="M61" s="15"/>
      <c r="N61" s="15"/>
      <c r="O61" s="15"/>
      <c r="P61" s="11"/>
      <c r="Q61" s="15"/>
      <c r="R61" s="11"/>
      <c r="S61" s="15"/>
    </row>
    <row r="62" ht="14.25" customHeight="1">
      <c r="A62" s="9">
        <v>45687.0</v>
      </c>
      <c r="B62" s="24"/>
      <c r="C62" s="11"/>
      <c r="D62" s="11"/>
      <c r="E62" s="11">
        <f>1480.5+25160+3684.5+197.4+562</f>
        <v>31084.4</v>
      </c>
      <c r="F62" s="13"/>
      <c r="H62" s="11"/>
      <c r="I62" s="15"/>
      <c r="J62" s="15"/>
      <c r="K62" s="15"/>
      <c r="L62" s="16"/>
      <c r="M62" s="15"/>
      <c r="N62" s="15"/>
      <c r="O62" s="15"/>
      <c r="P62" s="15"/>
      <c r="Q62" s="15"/>
      <c r="R62" s="15"/>
      <c r="S62" s="15"/>
    </row>
    <row r="63" ht="14.25" customHeight="1">
      <c r="A63" s="9">
        <v>45688.0</v>
      </c>
      <c r="B63" s="34" t="s">
        <v>45</v>
      </c>
      <c r="C63" s="36">
        <v>12523.84</v>
      </c>
      <c r="D63" s="11"/>
      <c r="E63" s="11">
        <f>999.5+999.5</f>
        <v>1999</v>
      </c>
      <c r="F63" s="13"/>
      <c r="H63" s="11">
        <f>412500</f>
        <v>412500</v>
      </c>
      <c r="I63" s="15"/>
      <c r="J63" s="15"/>
      <c r="K63" s="15">
        <f>225113+147220</f>
        <v>372333</v>
      </c>
      <c r="L63" s="16">
        <f>199940+112832+87685+124276+33720+166500+166000+175934+13522+28280+20216+121430+21732+96336+85528+41079</f>
        <v>1495010</v>
      </c>
      <c r="M63" s="15"/>
      <c r="N63" s="15">
        <f>8573+21600+6750+1978</f>
        <v>38901</v>
      </c>
      <c r="O63" s="15"/>
      <c r="P63" s="11"/>
      <c r="Q63" s="15"/>
      <c r="R63" s="15"/>
      <c r="S63" s="15"/>
    </row>
    <row r="64" ht="14.25" customHeight="1">
      <c r="A64" s="9">
        <v>45688.0</v>
      </c>
      <c r="B64" s="34" t="s">
        <v>46</v>
      </c>
      <c r="C64" s="37">
        <v>15000.0</v>
      </c>
      <c r="D64" s="38"/>
      <c r="E64" s="38">
        <f>15142</f>
        <v>15142</v>
      </c>
      <c r="F64" s="13"/>
      <c r="G64" s="39">
        <v>20.38</v>
      </c>
      <c r="H64" s="38"/>
      <c r="I64" s="40"/>
      <c r="J64" s="40"/>
      <c r="K64" s="40"/>
      <c r="L64" s="41"/>
      <c r="M64" s="40"/>
      <c r="N64" s="40"/>
      <c r="O64" s="40"/>
      <c r="P64" s="40"/>
      <c r="Q64" s="40"/>
      <c r="R64" s="40"/>
      <c r="S64" s="40"/>
    </row>
    <row r="65" ht="14.25" customHeight="1">
      <c r="A65" s="42" t="s">
        <v>47</v>
      </c>
      <c r="B65" s="43"/>
      <c r="C65" s="43">
        <f t="shared" ref="C65:T65" si="1">SUM(C3:C64)</f>
        <v>80279.14</v>
      </c>
      <c r="D65" s="43">
        <f t="shared" si="1"/>
        <v>140689.5</v>
      </c>
      <c r="E65" s="43">
        <f t="shared" si="1"/>
        <v>185998.659</v>
      </c>
      <c r="F65" s="43">
        <f t="shared" si="1"/>
        <v>0</v>
      </c>
      <c r="G65" s="43">
        <f t="shared" si="1"/>
        <v>20.38</v>
      </c>
      <c r="H65" s="43">
        <f t="shared" si="1"/>
        <v>766870</v>
      </c>
      <c r="I65" s="43">
        <f t="shared" si="1"/>
        <v>0</v>
      </c>
      <c r="J65" s="43">
        <f t="shared" si="1"/>
        <v>0</v>
      </c>
      <c r="K65" s="43">
        <f t="shared" si="1"/>
        <v>559032</v>
      </c>
      <c r="L65" s="43">
        <f t="shared" si="1"/>
        <v>1864794</v>
      </c>
      <c r="M65" s="43">
        <f t="shared" si="1"/>
        <v>0</v>
      </c>
      <c r="N65" s="43">
        <f t="shared" si="1"/>
        <v>307960.64</v>
      </c>
      <c r="O65" s="43">
        <f t="shared" si="1"/>
        <v>0</v>
      </c>
      <c r="P65" s="43">
        <f t="shared" si="1"/>
        <v>0</v>
      </c>
      <c r="Q65" s="43">
        <f t="shared" si="1"/>
        <v>0</v>
      </c>
      <c r="R65" s="43">
        <f t="shared" si="1"/>
        <v>0</v>
      </c>
      <c r="S65" s="43">
        <f t="shared" si="1"/>
        <v>0</v>
      </c>
      <c r="T65" s="44">
        <f t="shared" si="1"/>
        <v>1669220.49</v>
      </c>
      <c r="U65" s="45"/>
      <c r="V65" s="45"/>
      <c r="W65" s="45"/>
      <c r="X65" s="45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3">
    <mergeCell ref="B1:C1"/>
    <mergeCell ref="H1:S1"/>
    <mergeCell ref="T1:U1"/>
  </mergeCells>
  <printOptions/>
  <pageMargins bottom="0.75" footer="0.0" header="0.0" left="0.7" right="0.7" top="0.7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7.0"/>
    <col customWidth="1" min="5" max="5" width="16.0"/>
    <col customWidth="1" hidden="1" min="6" max="6" width="12.43"/>
    <col customWidth="1" min="7" max="7" width="19.14"/>
    <col customWidth="1" min="8" max="8" width="14.14"/>
    <col customWidth="1" min="9" max="9" width="13.14"/>
    <col customWidth="1" min="10" max="10" width="13.29"/>
    <col customWidth="1" min="11" max="11" width="20.57"/>
    <col customWidth="1" min="12" max="12" width="12.0"/>
    <col customWidth="1" min="13" max="13" width="10.86"/>
    <col customWidth="1" min="14" max="14" width="11.29"/>
    <col customWidth="1" min="15" max="15" width="14.57"/>
    <col customWidth="1" min="16" max="16" width="11.0"/>
    <col customWidth="1" min="17" max="17" width="10.86"/>
    <col customWidth="1" min="18" max="18" width="10.29"/>
    <col customWidth="1" min="19" max="19" width="9.43"/>
    <col customWidth="1" min="20" max="20" width="11.57"/>
    <col customWidth="1" min="21" max="21" width="60.57"/>
    <col customWidth="1" min="22" max="24" width="8.71"/>
  </cols>
  <sheetData>
    <row r="1" ht="63.0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129" t="s">
        <v>6</v>
      </c>
    </row>
    <row r="2" ht="42.7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90"/>
      <c r="B3" s="49"/>
      <c r="C3" s="50"/>
      <c r="D3" s="50"/>
      <c r="E3" s="50"/>
      <c r="F3" s="27"/>
      <c r="G3" s="50"/>
      <c r="H3" s="130"/>
      <c r="I3" s="130"/>
      <c r="J3" s="130"/>
      <c r="K3" s="131"/>
      <c r="L3" s="130"/>
      <c r="M3" s="130"/>
      <c r="N3" s="130"/>
      <c r="O3" s="130"/>
      <c r="P3" s="130"/>
      <c r="Q3" s="130"/>
      <c r="R3" s="130"/>
      <c r="S3" s="130"/>
      <c r="T3" s="132"/>
      <c r="U3" s="17" t="s">
        <v>20</v>
      </c>
      <c r="V3" s="27"/>
      <c r="W3" s="27"/>
      <c r="X3" s="27"/>
    </row>
    <row r="4" ht="14.25" customHeight="1">
      <c r="A4" s="51">
        <v>45931.0</v>
      </c>
      <c r="B4" s="52"/>
      <c r="C4" s="91"/>
      <c r="D4" s="53"/>
      <c r="E4" s="53"/>
      <c r="F4" s="27"/>
      <c r="G4" s="5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2"/>
      <c r="U4" s="21" t="s">
        <v>65</v>
      </c>
      <c r="V4" s="27"/>
      <c r="W4" s="27"/>
      <c r="X4" s="27"/>
    </row>
    <row r="5" ht="14.25" customHeight="1">
      <c r="A5" s="51">
        <v>45931.0</v>
      </c>
      <c r="B5" s="52"/>
      <c r="C5" s="91"/>
      <c r="D5" s="53"/>
      <c r="E5" s="53"/>
      <c r="F5" s="27"/>
      <c r="G5" s="5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2"/>
      <c r="U5" s="17" t="s">
        <v>212</v>
      </c>
      <c r="V5" s="27"/>
      <c r="W5" s="27"/>
      <c r="X5" s="27"/>
    </row>
    <row r="6" ht="14.25" customHeight="1">
      <c r="A6" s="51">
        <v>45932.0</v>
      </c>
      <c r="B6" s="52"/>
      <c r="C6" s="91"/>
      <c r="D6" s="53"/>
      <c r="E6" s="53"/>
      <c r="F6" s="27"/>
      <c r="G6" s="5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2"/>
      <c r="U6" s="17"/>
      <c r="V6" s="27"/>
      <c r="W6" s="27"/>
      <c r="X6" s="27"/>
    </row>
    <row r="7" ht="14.25" customHeight="1">
      <c r="A7" s="51">
        <v>45932.0</v>
      </c>
      <c r="B7" s="52"/>
      <c r="C7" s="91"/>
      <c r="D7" s="53"/>
      <c r="E7" s="53"/>
      <c r="F7" s="27"/>
      <c r="G7" s="5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2"/>
      <c r="U7" s="17" t="s">
        <v>92</v>
      </c>
      <c r="V7" s="27"/>
      <c r="W7" s="27"/>
      <c r="X7" s="27"/>
    </row>
    <row r="8" ht="21.0" customHeight="1">
      <c r="A8" s="51">
        <v>45933.0</v>
      </c>
      <c r="B8" s="56"/>
      <c r="C8" s="53"/>
      <c r="D8" s="53"/>
      <c r="E8" s="53"/>
      <c r="F8" s="27"/>
      <c r="G8" s="5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2"/>
      <c r="U8" s="17" t="s">
        <v>67</v>
      </c>
      <c r="V8" s="27"/>
      <c r="W8" s="27"/>
      <c r="X8" s="27"/>
    </row>
    <row r="9" ht="14.25" customHeight="1">
      <c r="A9" s="51">
        <v>45933.0</v>
      </c>
      <c r="B9" s="56"/>
      <c r="C9" s="53"/>
      <c r="D9" s="53"/>
      <c r="E9" s="53"/>
      <c r="F9" s="27"/>
      <c r="G9" s="5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2"/>
      <c r="U9" s="17" t="s">
        <v>93</v>
      </c>
      <c r="V9" s="27"/>
      <c r="W9" s="27"/>
      <c r="X9" s="27"/>
    </row>
    <row r="10" ht="14.25" customHeight="1">
      <c r="A10" s="51">
        <v>45934.0</v>
      </c>
      <c r="B10" s="56"/>
      <c r="C10" s="53"/>
      <c r="D10" s="53"/>
      <c r="E10" s="53"/>
      <c r="F10" s="27"/>
      <c r="G10" s="5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2"/>
      <c r="U10" s="17" t="s">
        <v>28</v>
      </c>
      <c r="V10" s="27"/>
      <c r="W10" s="27"/>
      <c r="X10" s="27"/>
    </row>
    <row r="11" ht="14.25" customHeight="1">
      <c r="A11" s="51">
        <v>45934.0</v>
      </c>
      <c r="B11" s="56"/>
      <c r="C11" s="53"/>
      <c r="D11" s="53"/>
      <c r="E11" s="53"/>
      <c r="F11" s="27"/>
      <c r="G11" s="5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2"/>
      <c r="U11" s="17" t="s">
        <v>68</v>
      </c>
      <c r="V11" s="27"/>
      <c r="W11" s="27"/>
      <c r="X11" s="27"/>
    </row>
    <row r="12" ht="14.25" customHeight="1">
      <c r="A12" s="51">
        <v>45935.0</v>
      </c>
      <c r="B12" s="56"/>
      <c r="C12" s="53"/>
      <c r="D12" s="53"/>
      <c r="E12" s="53"/>
      <c r="F12" s="27"/>
      <c r="G12" s="5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2"/>
      <c r="U12" s="17" t="s">
        <v>29</v>
      </c>
      <c r="V12" s="27"/>
      <c r="W12" s="27"/>
      <c r="X12" s="27"/>
    </row>
    <row r="13" ht="14.25" customHeight="1">
      <c r="A13" s="51">
        <v>45935.0</v>
      </c>
      <c r="B13" s="56"/>
      <c r="C13" s="53"/>
      <c r="D13" s="53"/>
      <c r="E13" s="53"/>
      <c r="F13" s="27"/>
      <c r="G13" s="5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2"/>
      <c r="U13" s="27" t="s">
        <v>69</v>
      </c>
      <c r="V13" s="27"/>
      <c r="W13" s="27"/>
      <c r="X13" s="27"/>
    </row>
    <row r="14" ht="14.25" customHeight="1">
      <c r="A14" s="51">
        <v>45936.0</v>
      </c>
      <c r="B14" s="56"/>
      <c r="C14" s="53"/>
      <c r="D14" s="53"/>
      <c r="E14" s="53"/>
      <c r="F14" s="27"/>
      <c r="G14" s="5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2"/>
      <c r="U14" s="17"/>
      <c r="V14" s="27"/>
      <c r="W14" s="27"/>
      <c r="X14" s="27"/>
    </row>
    <row r="15" ht="14.25" customHeight="1">
      <c r="A15" s="51">
        <v>45936.0</v>
      </c>
      <c r="B15" s="56"/>
      <c r="C15" s="53"/>
      <c r="D15" s="53"/>
      <c r="E15" s="53"/>
      <c r="F15" s="27"/>
      <c r="G15" s="5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2"/>
      <c r="U15" s="17" t="s">
        <v>225</v>
      </c>
      <c r="V15" s="27"/>
      <c r="W15" s="27"/>
      <c r="X15" s="27"/>
    </row>
    <row r="16" ht="14.25" customHeight="1">
      <c r="A16" s="51">
        <v>45937.0</v>
      </c>
      <c r="B16" s="52"/>
      <c r="C16" s="12"/>
      <c r="D16" s="53"/>
      <c r="E16" s="53"/>
      <c r="F16" s="27"/>
      <c r="G16" s="5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2"/>
      <c r="U16" s="21" t="s">
        <v>72</v>
      </c>
      <c r="V16" s="27"/>
      <c r="W16" s="27"/>
      <c r="X16" s="27"/>
    </row>
    <row r="17" ht="14.25" customHeight="1">
      <c r="A17" s="51">
        <v>45937.0</v>
      </c>
      <c r="B17" s="52"/>
      <c r="C17" s="12"/>
      <c r="D17" s="53"/>
      <c r="E17" s="53"/>
      <c r="F17" s="27"/>
      <c r="G17" s="5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2"/>
      <c r="U17" s="17" t="s">
        <v>226</v>
      </c>
      <c r="V17" s="27"/>
      <c r="W17" s="27"/>
      <c r="X17" s="27"/>
    </row>
    <row r="18" ht="14.25" customHeight="1">
      <c r="A18" s="51">
        <v>45938.0</v>
      </c>
      <c r="B18" s="56"/>
      <c r="C18" s="53"/>
      <c r="D18" s="53"/>
      <c r="E18" s="53"/>
      <c r="F18" s="27"/>
      <c r="G18" s="5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2"/>
      <c r="U18" s="17" t="s">
        <v>73</v>
      </c>
      <c r="V18" s="27"/>
      <c r="W18" s="27"/>
      <c r="X18" s="27"/>
    </row>
    <row r="19" ht="14.25" customHeight="1">
      <c r="A19" s="51">
        <v>45938.0</v>
      </c>
      <c r="B19" s="56"/>
      <c r="C19" s="53"/>
      <c r="D19" s="53"/>
      <c r="E19" s="53"/>
      <c r="F19" s="27"/>
      <c r="G19" s="5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2"/>
      <c r="U19" s="21" t="s">
        <v>227</v>
      </c>
      <c r="V19" s="27"/>
      <c r="W19" s="27"/>
      <c r="X19" s="27"/>
    </row>
    <row r="20" ht="14.25" customHeight="1">
      <c r="A20" s="51">
        <v>45939.0</v>
      </c>
      <c r="B20" s="56"/>
      <c r="C20" s="53"/>
      <c r="D20" s="53"/>
      <c r="E20" s="53"/>
      <c r="F20" s="27"/>
      <c r="G20" s="5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2"/>
      <c r="U20" s="21" t="s">
        <v>228</v>
      </c>
      <c r="V20" s="27"/>
      <c r="W20" s="27"/>
      <c r="X20" s="27"/>
    </row>
    <row r="21" ht="14.25" customHeight="1">
      <c r="A21" s="51">
        <v>45939.0</v>
      </c>
      <c r="B21" s="12"/>
      <c r="C21" s="53"/>
      <c r="D21" s="53"/>
      <c r="E21" s="53"/>
      <c r="F21" s="27"/>
      <c r="G21" s="5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2"/>
      <c r="U21" s="21" t="s">
        <v>229</v>
      </c>
      <c r="V21" s="27"/>
      <c r="W21" s="27"/>
      <c r="X21" s="27"/>
    </row>
    <row r="22" ht="14.25" customHeight="1">
      <c r="A22" s="51">
        <v>45940.0</v>
      </c>
      <c r="B22" s="56"/>
      <c r="C22" s="53"/>
      <c r="D22" s="53"/>
      <c r="E22" s="53"/>
      <c r="F22" s="27"/>
      <c r="G22" s="5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2"/>
      <c r="U22" s="17" t="s">
        <v>230</v>
      </c>
      <c r="V22" s="27"/>
      <c r="W22" s="27"/>
      <c r="X22" s="27"/>
    </row>
    <row r="23" ht="14.25" customHeight="1">
      <c r="A23" s="51">
        <v>45940.0</v>
      </c>
      <c r="B23" s="12"/>
      <c r="C23" s="53"/>
      <c r="D23" s="53"/>
      <c r="E23" s="53"/>
      <c r="F23" s="27"/>
      <c r="G23" s="5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2"/>
      <c r="U23" s="66" t="s">
        <v>78</v>
      </c>
      <c r="V23" s="27"/>
      <c r="W23" s="27"/>
      <c r="X23" s="27"/>
    </row>
    <row r="24" ht="14.25" customHeight="1">
      <c r="A24" s="51">
        <v>45941.0</v>
      </c>
      <c r="B24" s="15"/>
      <c r="C24" s="53"/>
      <c r="D24" s="53"/>
      <c r="E24" s="53"/>
      <c r="F24" s="27"/>
      <c r="G24" s="5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2"/>
      <c r="U24" s="17"/>
      <c r="V24" s="27"/>
      <c r="W24" s="27"/>
      <c r="X24" s="27"/>
    </row>
    <row r="25" ht="14.25" customHeight="1">
      <c r="A25" s="51">
        <v>45941.0</v>
      </c>
      <c r="B25" s="52"/>
      <c r="C25" s="53"/>
      <c r="D25" s="53"/>
      <c r="E25" s="53"/>
      <c r="F25" s="27"/>
      <c r="G25" s="5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2"/>
      <c r="U25" s="10" t="s">
        <v>79</v>
      </c>
      <c r="V25" s="27"/>
      <c r="W25" s="27"/>
      <c r="X25" s="27"/>
    </row>
    <row r="26" ht="14.25" customHeight="1">
      <c r="A26" s="51">
        <v>45942.0</v>
      </c>
      <c r="B26" s="12"/>
      <c r="C26" s="12"/>
      <c r="D26" s="53"/>
      <c r="E26" s="53"/>
      <c r="F26" s="27"/>
      <c r="G26" s="5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2"/>
      <c r="V26" s="27"/>
      <c r="W26" s="27"/>
      <c r="X26" s="27"/>
    </row>
    <row r="27" ht="14.25" customHeight="1">
      <c r="A27" s="51">
        <v>45942.0</v>
      </c>
      <c r="B27" s="12"/>
      <c r="C27" s="12"/>
      <c r="D27" s="53"/>
      <c r="E27" s="53"/>
      <c r="F27" s="27"/>
      <c r="G27" s="5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2"/>
      <c r="U27" s="10" t="s">
        <v>39</v>
      </c>
      <c r="V27" s="27"/>
      <c r="W27" s="27"/>
      <c r="X27" s="27"/>
    </row>
    <row r="28" ht="14.25" customHeight="1">
      <c r="A28" s="51">
        <v>45943.0</v>
      </c>
      <c r="B28" s="12"/>
      <c r="C28" s="12"/>
      <c r="D28" s="53"/>
      <c r="E28" s="53"/>
      <c r="F28" s="27"/>
      <c r="G28" s="5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2"/>
      <c r="U28" s="21"/>
      <c r="V28" s="27"/>
      <c r="W28" s="27"/>
      <c r="X28" s="27"/>
    </row>
    <row r="29" ht="14.25" customHeight="1">
      <c r="A29" s="51">
        <v>45943.0</v>
      </c>
      <c r="B29" s="56"/>
      <c r="C29" s="12"/>
      <c r="D29" s="53"/>
      <c r="E29" s="53"/>
      <c r="F29" s="27"/>
      <c r="G29" s="5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2"/>
      <c r="U29" s="10" t="s">
        <v>81</v>
      </c>
      <c r="V29" s="27"/>
      <c r="W29" s="27"/>
      <c r="X29" s="27"/>
    </row>
    <row r="30" ht="14.25" customHeight="1">
      <c r="A30" s="51">
        <v>45944.0</v>
      </c>
      <c r="B30" s="12"/>
      <c r="C30" s="12"/>
      <c r="D30" s="53"/>
      <c r="E30" s="53"/>
      <c r="F30" s="27"/>
      <c r="G30" s="5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2"/>
      <c r="V30" s="27"/>
      <c r="W30" s="27"/>
      <c r="X30" s="27"/>
    </row>
    <row r="31" ht="14.25" customHeight="1">
      <c r="A31" s="51">
        <v>45944.0</v>
      </c>
      <c r="B31" s="12"/>
      <c r="C31" s="12"/>
      <c r="D31" s="53"/>
      <c r="E31" s="53"/>
      <c r="F31" s="27"/>
      <c r="G31" s="5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2"/>
      <c r="U31" s="21" t="s">
        <v>21</v>
      </c>
      <c r="V31" s="27"/>
      <c r="W31" s="27"/>
      <c r="X31" s="27"/>
    </row>
    <row r="32" ht="14.25" customHeight="1">
      <c r="A32" s="51">
        <v>45945.0</v>
      </c>
      <c r="B32" s="56"/>
      <c r="C32" s="53"/>
      <c r="D32" s="53"/>
      <c r="E32" s="53"/>
      <c r="F32" s="27"/>
      <c r="G32" s="5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2"/>
      <c r="U32" s="10" t="s">
        <v>134</v>
      </c>
      <c r="V32" s="27"/>
      <c r="W32" s="27"/>
      <c r="X32" s="27"/>
    </row>
    <row r="33" ht="14.25" customHeight="1">
      <c r="A33" s="51">
        <v>45945.0</v>
      </c>
      <c r="B33" s="56"/>
      <c r="C33" s="53"/>
      <c r="D33" s="53"/>
      <c r="E33" s="53"/>
      <c r="F33" s="27"/>
      <c r="G33" s="5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2"/>
      <c r="U33" s="21" t="s">
        <v>231</v>
      </c>
      <c r="V33" s="27"/>
      <c r="W33" s="27"/>
      <c r="X33" s="27"/>
    </row>
    <row r="34" ht="14.25" customHeight="1">
      <c r="A34" s="51">
        <v>45946.0</v>
      </c>
      <c r="B34" s="56"/>
      <c r="C34" s="53"/>
      <c r="D34" s="53"/>
      <c r="E34" s="53"/>
      <c r="F34" s="27"/>
      <c r="G34" s="5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2"/>
      <c r="U34" s="21" t="s">
        <v>84</v>
      </c>
      <c r="V34" s="27"/>
      <c r="W34" s="27"/>
      <c r="X34" s="27"/>
    </row>
    <row r="35" ht="14.25" customHeight="1">
      <c r="A35" s="51">
        <v>45946.0</v>
      </c>
      <c r="B35" s="56"/>
      <c r="C35" s="53"/>
      <c r="D35" s="53"/>
      <c r="E35" s="53"/>
      <c r="F35" s="27"/>
      <c r="G35" s="5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2"/>
      <c r="U35" s="10" t="s">
        <v>85</v>
      </c>
      <c r="V35" s="27"/>
      <c r="W35" s="27"/>
      <c r="X35" s="27"/>
    </row>
    <row r="36" ht="14.25" customHeight="1">
      <c r="A36" s="51">
        <v>45947.0</v>
      </c>
      <c r="B36" s="56"/>
      <c r="C36" s="53"/>
      <c r="D36" s="53"/>
      <c r="E36" s="53"/>
      <c r="F36" s="27"/>
      <c r="G36" s="5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2"/>
      <c r="U36" s="10" t="s">
        <v>232</v>
      </c>
      <c r="V36" s="27"/>
      <c r="W36" s="27"/>
      <c r="X36" s="27"/>
    </row>
    <row r="37" ht="14.25" customHeight="1">
      <c r="A37" s="51">
        <v>45947.0</v>
      </c>
      <c r="B37" s="12"/>
      <c r="C37" s="53"/>
      <c r="D37" s="53"/>
      <c r="E37" s="53"/>
      <c r="F37" s="27"/>
      <c r="G37" s="5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2"/>
      <c r="V37" s="27"/>
      <c r="W37" s="27"/>
      <c r="X37" s="27"/>
    </row>
    <row r="38" ht="14.25" customHeight="1">
      <c r="A38" s="51">
        <v>45948.0</v>
      </c>
      <c r="B38" s="52"/>
      <c r="C38" s="53"/>
      <c r="D38" s="53"/>
      <c r="E38" s="53"/>
      <c r="F38" s="27"/>
      <c r="G38" s="5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2"/>
      <c r="U38" s="21" t="s">
        <v>233</v>
      </c>
      <c r="V38" s="27"/>
      <c r="W38" s="27"/>
      <c r="X38" s="27"/>
    </row>
    <row r="39" ht="14.25" customHeight="1">
      <c r="A39" s="51">
        <v>45948.0</v>
      </c>
      <c r="B39" s="52"/>
      <c r="C39" s="53"/>
      <c r="D39" s="53"/>
      <c r="E39" s="53"/>
      <c r="F39" s="27"/>
      <c r="G39" s="5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2"/>
      <c r="U39" s="10" t="s">
        <v>234</v>
      </c>
      <c r="V39" s="27"/>
      <c r="W39" s="27"/>
      <c r="X39" s="27"/>
    </row>
    <row r="40" ht="14.25" customHeight="1">
      <c r="A40" s="51">
        <v>45949.0</v>
      </c>
      <c r="B40" s="52"/>
      <c r="C40" s="53"/>
      <c r="D40" s="53"/>
      <c r="E40" s="53"/>
      <c r="F40" s="27"/>
      <c r="G40" s="5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12"/>
      <c r="U40" s="17" t="s">
        <v>70</v>
      </c>
      <c r="V40" s="27"/>
      <c r="W40" s="27"/>
      <c r="X40" s="27"/>
    </row>
    <row r="41" ht="14.25" customHeight="1">
      <c r="A41" s="51">
        <v>45949.0</v>
      </c>
      <c r="B41" s="52"/>
      <c r="C41" s="53"/>
      <c r="D41" s="53"/>
      <c r="E41" s="53"/>
      <c r="F41" s="27"/>
      <c r="G41" s="5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2"/>
      <c r="V41" s="27"/>
      <c r="W41" s="27"/>
      <c r="X41" s="27"/>
    </row>
    <row r="42" ht="14.25" customHeight="1">
      <c r="A42" s="51">
        <v>45950.0</v>
      </c>
      <c r="B42" s="52"/>
      <c r="C42" s="53"/>
      <c r="D42" s="53"/>
      <c r="E42" s="53"/>
      <c r="F42" s="27"/>
      <c r="G42" s="5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2"/>
      <c r="U42" s="21" t="s">
        <v>88</v>
      </c>
      <c r="V42" s="27"/>
      <c r="W42" s="27"/>
      <c r="X42" s="27"/>
    </row>
    <row r="43" ht="14.25" customHeight="1">
      <c r="A43" s="51">
        <v>45950.0</v>
      </c>
      <c r="B43" s="52"/>
      <c r="C43" s="53"/>
      <c r="D43" s="53"/>
      <c r="E43" s="53"/>
      <c r="F43" s="27"/>
      <c r="G43" s="5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2"/>
      <c r="V43" s="27"/>
      <c r="W43" s="27"/>
      <c r="X43" s="27"/>
    </row>
    <row r="44" ht="14.25" customHeight="1">
      <c r="A44" s="51">
        <v>45951.0</v>
      </c>
      <c r="B44" s="12"/>
      <c r="C44" s="12"/>
      <c r="D44" s="11"/>
      <c r="E44" s="15"/>
      <c r="G44" s="15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5"/>
      <c r="U44" s="21" t="s">
        <v>235</v>
      </c>
    </row>
    <row r="45" ht="14.25" customHeight="1">
      <c r="A45" s="51">
        <v>45951.0</v>
      </c>
      <c r="B45" s="56"/>
      <c r="C45" s="12"/>
      <c r="D45" s="11"/>
      <c r="E45" s="15"/>
      <c r="G45" s="15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5"/>
      <c r="U45" s="10" t="s">
        <v>236</v>
      </c>
    </row>
    <row r="46" ht="14.25" customHeight="1">
      <c r="A46" s="51">
        <v>45952.0</v>
      </c>
      <c r="B46" s="12"/>
      <c r="C46" s="12"/>
      <c r="D46" s="11"/>
      <c r="E46" s="15"/>
      <c r="G46" s="15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5"/>
      <c r="U46" s="21"/>
    </row>
    <row r="47" ht="14.25" customHeight="1">
      <c r="A47" s="51">
        <v>45952.0</v>
      </c>
      <c r="B47" s="12"/>
      <c r="C47" s="12"/>
      <c r="D47" s="11"/>
      <c r="E47" s="15"/>
      <c r="G47" s="15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5"/>
      <c r="U47" s="10" t="s">
        <v>237</v>
      </c>
    </row>
    <row r="48" ht="14.25" customHeight="1">
      <c r="A48" s="51">
        <v>45953.0</v>
      </c>
      <c r="B48" s="12"/>
      <c r="C48" s="12"/>
      <c r="D48" s="11"/>
      <c r="E48" s="15"/>
      <c r="G48" s="15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5"/>
      <c r="U48" s="14"/>
    </row>
    <row r="49" ht="14.25" customHeight="1">
      <c r="A49" s="51">
        <v>45953.0</v>
      </c>
      <c r="B49" s="12"/>
      <c r="C49" s="12"/>
      <c r="D49" s="11"/>
      <c r="E49" s="15"/>
      <c r="G49" s="15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5"/>
      <c r="U49" s="14"/>
    </row>
    <row r="50" ht="14.25" customHeight="1">
      <c r="A50" s="51">
        <v>45954.0</v>
      </c>
      <c r="B50" s="136"/>
      <c r="C50" s="12"/>
      <c r="D50" s="11"/>
      <c r="E50" s="15"/>
      <c r="G50" s="15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5"/>
    </row>
    <row r="51" ht="14.25" customHeight="1">
      <c r="A51" s="51">
        <v>45954.0</v>
      </c>
      <c r="B51" s="12"/>
      <c r="C51" s="12"/>
      <c r="D51" s="11"/>
      <c r="E51" s="15"/>
      <c r="G51" s="15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5"/>
      <c r="U51" s="10" t="s">
        <v>24</v>
      </c>
    </row>
    <row r="52" ht="14.25" customHeight="1">
      <c r="A52" s="51">
        <v>45955.0</v>
      </c>
      <c r="B52" s="12"/>
      <c r="C52" s="12"/>
      <c r="D52" s="11"/>
      <c r="E52" s="15"/>
      <c r="G52" s="15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5"/>
    </row>
    <row r="53" ht="14.25" customHeight="1">
      <c r="A53" s="51">
        <v>45955.0</v>
      </c>
      <c r="B53" s="12"/>
      <c r="C53" s="12"/>
      <c r="D53" s="11"/>
      <c r="E53" s="15"/>
      <c r="G53" s="15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5"/>
      <c r="U53" s="10" t="s">
        <v>238</v>
      </c>
    </row>
    <row r="54" ht="14.25" customHeight="1">
      <c r="A54" s="51">
        <v>45956.0</v>
      </c>
      <c r="B54" s="12"/>
      <c r="C54" s="12"/>
      <c r="D54" s="11"/>
      <c r="E54" s="15"/>
      <c r="G54" s="15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5"/>
    </row>
    <row r="55" ht="14.25" customHeight="1">
      <c r="A55" s="51">
        <v>45956.0</v>
      </c>
      <c r="B55" s="12"/>
      <c r="C55" s="12"/>
      <c r="D55" s="11"/>
      <c r="E55" s="15"/>
      <c r="G55" s="15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5"/>
    </row>
    <row r="56" ht="14.25" customHeight="1">
      <c r="A56" s="51">
        <v>45957.0</v>
      </c>
      <c r="B56" s="12"/>
      <c r="C56" s="12"/>
      <c r="D56" s="11"/>
      <c r="E56" s="15"/>
      <c r="G56" s="15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5"/>
    </row>
    <row r="57" ht="14.25" customHeight="1">
      <c r="A57" s="51">
        <v>45957.0</v>
      </c>
      <c r="B57" s="12"/>
      <c r="C57" s="12"/>
      <c r="D57" s="11"/>
      <c r="E57" s="15"/>
      <c r="G57" s="15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5"/>
    </row>
    <row r="58" ht="14.25" customHeight="1">
      <c r="A58" s="51">
        <v>45958.0</v>
      </c>
      <c r="B58" s="56"/>
      <c r="C58" s="15"/>
      <c r="D58" s="11"/>
      <c r="E58" s="15"/>
      <c r="G58" s="15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5"/>
    </row>
    <row r="59" ht="14.25" customHeight="1">
      <c r="A59" s="51">
        <v>45958.0</v>
      </c>
      <c r="B59" s="15"/>
      <c r="C59" s="15"/>
      <c r="D59" s="11"/>
      <c r="E59" s="15"/>
      <c r="G59" s="15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5"/>
    </row>
    <row r="60" ht="14.25" customHeight="1">
      <c r="A60" s="51">
        <v>45959.0</v>
      </c>
      <c r="B60" s="15"/>
      <c r="C60" s="15"/>
      <c r="D60" s="11"/>
      <c r="E60" s="15"/>
      <c r="G60" s="15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5"/>
    </row>
    <row r="61" ht="14.25" customHeight="1">
      <c r="A61" s="51">
        <v>45959.0</v>
      </c>
      <c r="B61" s="15"/>
      <c r="C61" s="15"/>
      <c r="D61" s="11"/>
      <c r="E61" s="15"/>
      <c r="G61" s="15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5"/>
    </row>
    <row r="62" ht="14.25" customHeight="1">
      <c r="A62" s="51">
        <v>45960.0</v>
      </c>
      <c r="B62" s="15"/>
      <c r="C62" s="15"/>
      <c r="D62" s="11"/>
      <c r="E62" s="15"/>
      <c r="G62" s="15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5"/>
    </row>
    <row r="63" ht="14.25" customHeight="1">
      <c r="A63" s="51">
        <v>45960.0</v>
      </c>
      <c r="B63" s="11"/>
      <c r="C63" s="11"/>
      <c r="D63" s="11"/>
      <c r="E63" s="15"/>
      <c r="G63" s="15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5"/>
    </row>
    <row r="64" ht="14.25" customHeight="1">
      <c r="A64" s="51">
        <v>45961.0</v>
      </c>
      <c r="B64" s="11"/>
      <c r="C64" s="11"/>
      <c r="D64" s="11"/>
      <c r="E64" s="15"/>
      <c r="G64" s="15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5"/>
    </row>
    <row r="65" ht="14.25" customHeight="1">
      <c r="A65" s="71">
        <v>45961.0</v>
      </c>
      <c r="B65" s="38"/>
      <c r="C65" s="38"/>
      <c r="D65" s="38"/>
      <c r="E65" s="40"/>
      <c r="G65" s="38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5"/>
    </row>
    <row r="66" ht="14.25" customHeight="1">
      <c r="A66" s="95" t="s">
        <v>47</v>
      </c>
      <c r="B66" s="43"/>
      <c r="C66" s="43">
        <f>SUM(C4:C65)</f>
        <v>0</v>
      </c>
      <c r="D66" s="43">
        <f t="shared" ref="D66:T66" si="1">SUM(D3:D65)</f>
        <v>0</v>
      </c>
      <c r="E66" s="43">
        <f t="shared" si="1"/>
        <v>0</v>
      </c>
      <c r="F66" s="43">
        <f t="shared" si="1"/>
        <v>0</v>
      </c>
      <c r="G66" s="43">
        <f t="shared" si="1"/>
        <v>0</v>
      </c>
      <c r="H66" s="96">
        <f t="shared" si="1"/>
        <v>0</v>
      </c>
      <c r="I66" s="96">
        <f t="shared" si="1"/>
        <v>0</v>
      </c>
      <c r="J66" s="96">
        <f t="shared" si="1"/>
        <v>0</v>
      </c>
      <c r="K66" s="96">
        <f t="shared" si="1"/>
        <v>0</v>
      </c>
      <c r="L66" s="96">
        <f t="shared" si="1"/>
        <v>0</v>
      </c>
      <c r="M66" s="96">
        <f t="shared" si="1"/>
        <v>0</v>
      </c>
      <c r="N66" s="96">
        <f t="shared" si="1"/>
        <v>0</v>
      </c>
      <c r="O66" s="96">
        <f t="shared" si="1"/>
        <v>0</v>
      </c>
      <c r="P66" s="96">
        <f t="shared" si="1"/>
        <v>0</v>
      </c>
      <c r="Q66" s="96">
        <f t="shared" si="1"/>
        <v>0</v>
      </c>
      <c r="R66" s="96">
        <f t="shared" si="1"/>
        <v>0</v>
      </c>
      <c r="S66" s="96">
        <f t="shared" si="1"/>
        <v>0</v>
      </c>
      <c r="T66" s="138">
        <f t="shared" si="1"/>
        <v>0</v>
      </c>
      <c r="U66" s="45"/>
      <c r="V66" s="45"/>
      <c r="W66" s="45"/>
      <c r="X66" s="45"/>
    </row>
    <row r="67" ht="14.25" customHeight="1">
      <c r="A67" s="89"/>
    </row>
    <row r="68" ht="14.25" customHeight="1">
      <c r="A68" s="89"/>
      <c r="B68" s="14"/>
      <c r="C68" s="14"/>
      <c r="D68" s="14"/>
    </row>
    <row r="69" ht="14.25" customHeight="1">
      <c r="A69" s="89"/>
      <c r="B69" s="14"/>
      <c r="C69" s="14"/>
      <c r="D69" s="14"/>
    </row>
    <row r="70" ht="14.25" customHeight="1">
      <c r="A70" s="89"/>
      <c r="B70" s="14"/>
      <c r="C70" s="14"/>
      <c r="D70" s="14"/>
    </row>
    <row r="71" ht="14.25" customHeight="1">
      <c r="A71" s="89"/>
      <c r="B71" s="14"/>
      <c r="C71" s="14"/>
      <c r="D71" s="14"/>
    </row>
    <row r="72" ht="14.25" customHeight="1">
      <c r="A72" s="89"/>
      <c r="B72" s="14"/>
      <c r="C72" s="14"/>
      <c r="D72" s="14"/>
    </row>
    <row r="73" ht="14.25" customHeight="1">
      <c r="A73" s="89"/>
      <c r="B73" s="14"/>
      <c r="C73" s="14"/>
      <c r="D73" s="14"/>
    </row>
    <row r="74" ht="14.25" customHeight="1">
      <c r="A74" s="89"/>
      <c r="B74" s="14"/>
      <c r="C74" s="14"/>
      <c r="D74" s="14"/>
    </row>
    <row r="75" ht="14.25" customHeight="1">
      <c r="A75" s="89"/>
    </row>
    <row r="76" ht="14.25" customHeight="1">
      <c r="A76" s="89"/>
    </row>
    <row r="77" ht="14.25" customHeight="1">
      <c r="A77" s="89"/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4.25" customHeight="1">
      <c r="A265" s="89"/>
    </row>
    <row r="266" ht="14.25" customHeight="1">
      <c r="A266" s="89"/>
    </row>
    <row r="267" ht="15.75" customHeight="1">
      <c r="A267" s="89"/>
    </row>
    <row r="268" ht="15.75" customHeight="1">
      <c r="A268" s="89"/>
    </row>
    <row r="269" ht="15.75" customHeight="1">
      <c r="A269" s="89"/>
    </row>
    <row r="270" ht="15.75" customHeight="1">
      <c r="A270" s="89"/>
    </row>
    <row r="271" ht="15.7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  <row r="971" ht="15.75" customHeight="1">
      <c r="A971" s="89"/>
    </row>
    <row r="972" ht="15.75" customHeight="1">
      <c r="A972" s="89"/>
    </row>
    <row r="973" ht="15.75" customHeight="1">
      <c r="A973" s="89"/>
    </row>
    <row r="974" ht="15.75" customHeight="1">
      <c r="A974" s="89"/>
    </row>
    <row r="975" ht="15.75" customHeight="1">
      <c r="A975" s="89"/>
    </row>
    <row r="976" ht="15.75" customHeight="1">
      <c r="A976" s="89"/>
    </row>
    <row r="977" ht="15.75" customHeight="1">
      <c r="A977" s="89"/>
    </row>
    <row r="978" ht="15.75" customHeight="1">
      <c r="A978" s="89"/>
    </row>
    <row r="979" ht="15.75" customHeight="1">
      <c r="A979" s="89"/>
    </row>
    <row r="980" ht="15.75" customHeight="1">
      <c r="A980" s="89"/>
    </row>
    <row r="981" ht="15.75" customHeight="1">
      <c r="A981" s="89"/>
    </row>
    <row r="982" ht="15.75" customHeight="1">
      <c r="A982" s="89"/>
    </row>
    <row r="983" ht="15.75" customHeight="1">
      <c r="A983" s="89"/>
    </row>
    <row r="984" ht="15.75" customHeight="1">
      <c r="A984" s="89"/>
    </row>
    <row r="985" ht="15.75" customHeight="1">
      <c r="A985" s="89"/>
    </row>
    <row r="986" ht="15.75" customHeight="1">
      <c r="A986" s="89"/>
    </row>
    <row r="987" ht="15.75" customHeight="1">
      <c r="A987" s="89"/>
    </row>
    <row r="988" ht="15.75" customHeight="1">
      <c r="A988" s="89"/>
    </row>
    <row r="989" ht="15.75" customHeight="1">
      <c r="A989" s="89"/>
    </row>
    <row r="990" ht="15.75" customHeight="1">
      <c r="A990" s="89"/>
    </row>
    <row r="991" ht="15.75" customHeight="1">
      <c r="A991" s="89"/>
    </row>
    <row r="992" ht="15.75" customHeight="1">
      <c r="A992" s="89"/>
    </row>
    <row r="993" ht="15.75" customHeight="1">
      <c r="A993" s="89"/>
    </row>
    <row r="994" ht="15.75" customHeight="1">
      <c r="A994" s="89"/>
    </row>
    <row r="995" ht="15.75" customHeight="1">
      <c r="A995" s="89"/>
    </row>
    <row r="996" ht="15.75" customHeight="1">
      <c r="A996" s="89"/>
    </row>
    <row r="997" ht="15.75" customHeight="1">
      <c r="A997" s="89"/>
    </row>
    <row r="998" ht="15.75" customHeight="1">
      <c r="A998" s="89"/>
    </row>
    <row r="999" ht="15.75" customHeight="1">
      <c r="A999" s="89"/>
    </row>
    <row r="1000" ht="15.75" customHeight="1">
      <c r="A1000" s="89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6.14"/>
    <col customWidth="1" min="5" max="5" width="15.14"/>
    <col customWidth="1" hidden="1" min="6" max="6" width="12.43"/>
    <col customWidth="1" min="7" max="7" width="15.57"/>
    <col customWidth="1" min="8" max="8" width="14.14"/>
    <col customWidth="1" min="9" max="9" width="14.0"/>
    <col customWidth="1" min="10" max="10" width="15.0"/>
    <col customWidth="1" min="11" max="11" width="12.0"/>
    <col customWidth="1" min="12" max="12" width="10.86"/>
    <col customWidth="1" min="13" max="13" width="11.29"/>
    <col customWidth="1" min="14" max="14" width="11.57"/>
    <col customWidth="1" min="15" max="15" width="10.14"/>
    <col customWidth="1" min="16" max="16" width="11.0"/>
    <col customWidth="1" min="17" max="17" width="10.86"/>
    <col customWidth="1" min="18" max="18" width="15.29"/>
    <col customWidth="1" min="19" max="19" width="9.43"/>
    <col customWidth="1" min="20" max="20" width="11.57"/>
    <col customWidth="1" min="21" max="21" width="56.43"/>
    <col customWidth="1" min="22" max="24" width="8.71"/>
  </cols>
  <sheetData>
    <row r="1" ht="58.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42.0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90"/>
      <c r="B3" s="49"/>
      <c r="C3" s="50"/>
      <c r="D3" s="50"/>
      <c r="E3" s="50"/>
      <c r="F3" s="27"/>
      <c r="G3" s="50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27"/>
      <c r="U3" s="17" t="s">
        <v>20</v>
      </c>
      <c r="V3" s="27"/>
      <c r="W3" s="27"/>
      <c r="X3" s="27"/>
    </row>
    <row r="4" ht="14.25" customHeight="1">
      <c r="A4" s="51">
        <v>45962.0</v>
      </c>
      <c r="B4" s="11"/>
      <c r="C4" s="139"/>
      <c r="D4" s="53"/>
      <c r="E4" s="53"/>
      <c r="F4" s="27"/>
      <c r="G4" s="53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27"/>
      <c r="U4" s="21" t="s">
        <v>65</v>
      </c>
      <c r="V4" s="27"/>
      <c r="W4" s="27"/>
      <c r="X4" s="27"/>
    </row>
    <row r="5" ht="14.25" customHeight="1">
      <c r="A5" s="51">
        <v>45962.0</v>
      </c>
      <c r="B5" s="140"/>
      <c r="C5" s="91"/>
      <c r="D5" s="53"/>
      <c r="E5" s="53"/>
      <c r="F5" s="27"/>
      <c r="G5" s="53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27"/>
      <c r="U5" s="17" t="s">
        <v>215</v>
      </c>
      <c r="V5" s="27"/>
      <c r="W5" s="27"/>
      <c r="X5" s="27"/>
    </row>
    <row r="6" ht="14.25" customHeight="1">
      <c r="A6" s="51">
        <v>45963.0</v>
      </c>
      <c r="B6" s="140"/>
      <c r="C6" s="91"/>
      <c r="D6" s="53"/>
      <c r="E6" s="53"/>
      <c r="F6" s="27"/>
      <c r="G6" s="53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7"/>
      <c r="U6" s="17" t="s">
        <v>239</v>
      </c>
      <c r="V6" s="27"/>
      <c r="W6" s="27"/>
      <c r="X6" s="27"/>
    </row>
    <row r="7" ht="14.25" customHeight="1">
      <c r="A7" s="51">
        <v>45963.0</v>
      </c>
      <c r="B7" s="140"/>
      <c r="C7" s="91"/>
      <c r="D7" s="53"/>
      <c r="E7" s="53"/>
      <c r="F7" s="27"/>
      <c r="G7" s="53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27"/>
      <c r="U7" s="17" t="s">
        <v>92</v>
      </c>
      <c r="V7" s="27"/>
      <c r="W7" s="27"/>
      <c r="X7" s="27"/>
    </row>
    <row r="8" ht="14.25" customHeight="1">
      <c r="A8" s="51">
        <v>45964.0</v>
      </c>
      <c r="B8" s="56"/>
      <c r="C8" s="53"/>
      <c r="D8" s="53"/>
      <c r="E8" s="53"/>
      <c r="F8" s="27"/>
      <c r="G8" s="53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27"/>
      <c r="U8" s="17"/>
      <c r="V8" s="27"/>
      <c r="W8" s="27"/>
      <c r="X8" s="27"/>
    </row>
    <row r="9" ht="14.25" customHeight="1">
      <c r="A9" s="51">
        <v>45964.0</v>
      </c>
      <c r="B9" s="56"/>
      <c r="C9" s="53"/>
      <c r="D9" s="53"/>
      <c r="E9" s="53"/>
      <c r="F9" s="27"/>
      <c r="G9" s="53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27"/>
      <c r="U9" s="17" t="s">
        <v>240</v>
      </c>
      <c r="V9" s="27"/>
      <c r="W9" s="27"/>
      <c r="X9" s="27"/>
    </row>
    <row r="10" ht="14.25" customHeight="1">
      <c r="A10" s="51">
        <v>45965.0</v>
      </c>
      <c r="B10" s="56"/>
      <c r="C10" s="53"/>
      <c r="D10" s="53"/>
      <c r="E10" s="53"/>
      <c r="F10" s="27"/>
      <c r="G10" s="53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27"/>
      <c r="U10" s="17" t="s">
        <v>28</v>
      </c>
      <c r="V10" s="27"/>
      <c r="W10" s="27"/>
      <c r="X10" s="27"/>
    </row>
    <row r="11" ht="14.25" customHeight="1">
      <c r="A11" s="51">
        <v>45965.0</v>
      </c>
      <c r="B11" s="56"/>
      <c r="C11" s="53"/>
      <c r="D11" s="53"/>
      <c r="E11" s="53"/>
      <c r="F11" s="27"/>
      <c r="G11" s="53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27"/>
      <c r="U11" s="17" t="s">
        <v>68</v>
      </c>
      <c r="V11" s="27"/>
      <c r="W11" s="27"/>
      <c r="X11" s="27"/>
    </row>
    <row r="12" ht="14.25" customHeight="1">
      <c r="A12" s="51">
        <v>45966.0</v>
      </c>
      <c r="B12" s="56"/>
      <c r="C12" s="53"/>
      <c r="D12" s="53"/>
      <c r="E12" s="53"/>
      <c r="F12" s="27"/>
      <c r="G12" s="53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27"/>
      <c r="U12" s="17" t="s">
        <v>29</v>
      </c>
      <c r="V12" s="27"/>
      <c r="W12" s="27"/>
      <c r="X12" s="27"/>
    </row>
    <row r="13" ht="14.25" customHeight="1">
      <c r="A13" s="51">
        <v>45966.0</v>
      </c>
      <c r="B13" s="56"/>
      <c r="C13" s="53"/>
      <c r="D13" s="53"/>
      <c r="E13" s="53"/>
      <c r="F13" s="27"/>
      <c r="G13" s="53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27"/>
      <c r="U13" s="27" t="s">
        <v>69</v>
      </c>
      <c r="V13" s="27"/>
      <c r="W13" s="27"/>
      <c r="X13" s="27"/>
    </row>
    <row r="14" ht="14.25" customHeight="1">
      <c r="A14" s="51">
        <v>45967.0</v>
      </c>
      <c r="B14" s="56"/>
      <c r="C14" s="53"/>
      <c r="D14" s="53"/>
      <c r="E14" s="53"/>
      <c r="F14" s="27"/>
      <c r="G14" s="53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27"/>
      <c r="U14" s="17" t="s">
        <v>70</v>
      </c>
      <c r="V14" s="27"/>
      <c r="W14" s="27"/>
      <c r="X14" s="27"/>
    </row>
    <row r="15" ht="14.25" customHeight="1">
      <c r="A15" s="51">
        <v>45967.0</v>
      </c>
      <c r="B15" s="56"/>
      <c r="C15" s="53"/>
      <c r="D15" s="53"/>
      <c r="E15" s="53"/>
      <c r="F15" s="27"/>
      <c r="G15" s="53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27"/>
      <c r="U15" s="17"/>
      <c r="V15" s="27"/>
      <c r="W15" s="27"/>
      <c r="X15" s="27"/>
    </row>
    <row r="16" ht="14.25" customHeight="1">
      <c r="A16" s="51">
        <v>45968.0</v>
      </c>
      <c r="B16" s="52"/>
      <c r="C16" s="12"/>
      <c r="D16" s="53"/>
      <c r="E16" s="53"/>
      <c r="F16" s="27"/>
      <c r="G16" s="53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27"/>
      <c r="U16" s="21" t="s">
        <v>72</v>
      </c>
      <c r="V16" s="27"/>
      <c r="W16" s="27"/>
      <c r="X16" s="27"/>
    </row>
    <row r="17" ht="14.25" customHeight="1">
      <c r="A17" s="51">
        <v>45968.0</v>
      </c>
      <c r="B17" s="141"/>
      <c r="C17" s="12"/>
      <c r="D17" s="53"/>
      <c r="E17" s="53"/>
      <c r="F17" s="27"/>
      <c r="G17" s="53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27"/>
      <c r="U17" s="17" t="s">
        <v>241</v>
      </c>
      <c r="V17" s="27"/>
      <c r="W17" s="27"/>
      <c r="X17" s="27"/>
    </row>
    <row r="18" ht="14.25" customHeight="1">
      <c r="A18" s="51">
        <v>45969.0</v>
      </c>
      <c r="B18" s="56"/>
      <c r="C18" s="53"/>
      <c r="D18" s="53"/>
      <c r="E18" s="53"/>
      <c r="F18" s="27"/>
      <c r="G18" s="53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27"/>
      <c r="U18" s="17" t="s">
        <v>73</v>
      </c>
      <c r="V18" s="27"/>
      <c r="W18" s="27"/>
      <c r="X18" s="27"/>
    </row>
    <row r="19" ht="14.25" customHeight="1">
      <c r="A19" s="51">
        <v>45969.0</v>
      </c>
      <c r="B19" s="56"/>
      <c r="C19" s="53"/>
      <c r="D19" s="53"/>
      <c r="E19" s="53"/>
      <c r="F19" s="27"/>
      <c r="G19" s="53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27"/>
      <c r="U19" s="21" t="s">
        <v>242</v>
      </c>
      <c r="V19" s="27"/>
      <c r="W19" s="27"/>
      <c r="X19" s="27"/>
    </row>
    <row r="20" ht="14.25" customHeight="1">
      <c r="A20" s="51">
        <v>45970.0</v>
      </c>
      <c r="B20" s="56"/>
      <c r="C20" s="53"/>
      <c r="D20" s="53"/>
      <c r="E20" s="53"/>
      <c r="F20" s="27"/>
      <c r="G20" s="53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27"/>
      <c r="U20" s="21" t="s">
        <v>243</v>
      </c>
      <c r="V20" s="27"/>
      <c r="W20" s="27"/>
      <c r="X20" s="27"/>
    </row>
    <row r="21" ht="14.25" customHeight="1">
      <c r="A21" s="51">
        <v>45970.0</v>
      </c>
      <c r="B21" s="12"/>
      <c r="C21" s="53"/>
      <c r="D21" s="53"/>
      <c r="E21" s="53"/>
      <c r="F21" s="27"/>
      <c r="G21" s="53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27"/>
      <c r="U21" s="21" t="s">
        <v>244</v>
      </c>
      <c r="V21" s="27"/>
      <c r="W21" s="27"/>
      <c r="X21" s="27"/>
    </row>
    <row r="22" ht="14.25" customHeight="1">
      <c r="A22" s="51">
        <v>45971.0</v>
      </c>
      <c r="B22" s="56"/>
      <c r="C22" s="53"/>
      <c r="D22" s="53"/>
      <c r="E22" s="53"/>
      <c r="F22" s="27"/>
      <c r="G22" s="53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27"/>
      <c r="U22" s="17" t="s">
        <v>245</v>
      </c>
      <c r="V22" s="27"/>
      <c r="W22" s="27"/>
      <c r="X22" s="27"/>
    </row>
    <row r="23" ht="14.25" customHeight="1">
      <c r="A23" s="51">
        <v>45971.0</v>
      </c>
      <c r="B23" s="12"/>
      <c r="C23" s="53"/>
      <c r="D23" s="53"/>
      <c r="E23" s="53"/>
      <c r="F23" s="27"/>
      <c r="G23" s="53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27"/>
      <c r="U23" s="66"/>
      <c r="V23" s="27"/>
      <c r="W23" s="27"/>
      <c r="X23" s="27"/>
    </row>
    <row r="24" ht="14.25" customHeight="1">
      <c r="A24" s="51">
        <v>45972.0</v>
      </c>
      <c r="B24" s="11"/>
      <c r="C24" s="53"/>
      <c r="D24" s="53"/>
      <c r="E24" s="53"/>
      <c r="F24" s="27"/>
      <c r="G24" s="53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27"/>
      <c r="U24" s="17"/>
      <c r="V24" s="27"/>
      <c r="W24" s="27"/>
      <c r="X24" s="27"/>
    </row>
    <row r="25" ht="14.25" customHeight="1">
      <c r="A25" s="51">
        <v>45972.0</v>
      </c>
      <c r="B25" s="52"/>
      <c r="C25" s="53"/>
      <c r="D25" s="53"/>
      <c r="E25" s="53"/>
      <c r="F25" s="27"/>
      <c r="G25" s="53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27"/>
      <c r="U25" s="10" t="s">
        <v>79</v>
      </c>
      <c r="V25" s="27"/>
      <c r="W25" s="27"/>
      <c r="X25" s="27"/>
    </row>
    <row r="26" ht="14.25" customHeight="1">
      <c r="A26" s="51">
        <v>45973.0</v>
      </c>
      <c r="B26" s="12"/>
      <c r="C26" s="12"/>
      <c r="D26" s="53"/>
      <c r="E26" s="53"/>
      <c r="F26" s="27"/>
      <c r="G26" s="53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27"/>
      <c r="U26" s="10" t="s">
        <v>246</v>
      </c>
      <c r="V26" s="27"/>
      <c r="W26" s="27"/>
      <c r="X26" s="27"/>
    </row>
    <row r="27" ht="14.25" customHeight="1">
      <c r="A27" s="51">
        <v>45973.0</v>
      </c>
      <c r="B27" s="11"/>
      <c r="C27" s="11"/>
      <c r="D27" s="53"/>
      <c r="E27" s="53"/>
      <c r="F27" s="27"/>
      <c r="G27" s="53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27"/>
      <c r="V27" s="27"/>
      <c r="W27" s="27"/>
      <c r="X27" s="27"/>
    </row>
    <row r="28" ht="14.25" customHeight="1">
      <c r="A28" s="51">
        <v>45974.0</v>
      </c>
      <c r="B28" s="12"/>
      <c r="C28" s="12"/>
      <c r="D28" s="53"/>
      <c r="E28" s="53"/>
      <c r="F28" s="27"/>
      <c r="G28" s="53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27"/>
      <c r="U28" s="21" t="s">
        <v>247</v>
      </c>
      <c r="V28" s="27"/>
      <c r="W28" s="27"/>
      <c r="X28" s="27"/>
    </row>
    <row r="29" ht="14.25" customHeight="1">
      <c r="A29" s="51">
        <v>45974.0</v>
      </c>
      <c r="B29" s="56"/>
      <c r="C29" s="12"/>
      <c r="D29" s="53"/>
      <c r="E29" s="53"/>
      <c r="F29" s="27"/>
      <c r="G29" s="53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27"/>
      <c r="U29" s="10" t="s">
        <v>81</v>
      </c>
      <c r="V29" s="27"/>
      <c r="W29" s="27"/>
      <c r="X29" s="27"/>
    </row>
    <row r="30" ht="14.25" customHeight="1">
      <c r="A30" s="51">
        <v>45975.0</v>
      </c>
      <c r="B30" s="12"/>
      <c r="C30" s="12"/>
      <c r="D30" s="53"/>
      <c r="E30" s="53"/>
      <c r="F30" s="27"/>
      <c r="G30" s="53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27"/>
      <c r="U30" s="10" t="s">
        <v>248</v>
      </c>
      <c r="V30" s="27"/>
      <c r="W30" s="27"/>
      <c r="X30" s="27"/>
    </row>
    <row r="31" ht="14.25" customHeight="1">
      <c r="A31" s="51">
        <v>45975.0</v>
      </c>
      <c r="B31" s="12"/>
      <c r="C31" s="12"/>
      <c r="D31" s="53"/>
      <c r="E31" s="53"/>
      <c r="F31" s="27"/>
      <c r="G31" s="53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27"/>
      <c r="U31" s="21" t="s">
        <v>21</v>
      </c>
      <c r="V31" s="27"/>
      <c r="W31" s="27"/>
      <c r="X31" s="27"/>
    </row>
    <row r="32" ht="14.25" customHeight="1">
      <c r="A32" s="51">
        <v>45976.0</v>
      </c>
      <c r="B32" s="56"/>
      <c r="C32" s="53"/>
      <c r="D32" s="53"/>
      <c r="E32" s="53"/>
      <c r="F32" s="27"/>
      <c r="G32" s="53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27"/>
      <c r="U32" s="10" t="s">
        <v>249</v>
      </c>
      <c r="V32" s="27"/>
      <c r="W32" s="27"/>
      <c r="X32" s="27"/>
    </row>
    <row r="33" ht="14.25" customHeight="1">
      <c r="A33" s="51">
        <v>45976.0</v>
      </c>
      <c r="B33" s="56"/>
      <c r="C33" s="53"/>
      <c r="D33" s="53"/>
      <c r="E33" s="53"/>
      <c r="F33" s="27"/>
      <c r="G33" s="53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27"/>
      <c r="U33" s="21" t="s">
        <v>250</v>
      </c>
      <c r="V33" s="27"/>
      <c r="W33" s="27"/>
      <c r="X33" s="27"/>
    </row>
    <row r="34" ht="14.25" customHeight="1">
      <c r="A34" s="51">
        <v>45977.0</v>
      </c>
      <c r="B34" s="56"/>
      <c r="C34" s="53"/>
      <c r="D34" s="53"/>
      <c r="E34" s="53"/>
      <c r="F34" s="27"/>
      <c r="G34" s="53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27"/>
      <c r="U34" s="21" t="s">
        <v>84</v>
      </c>
      <c r="V34" s="27"/>
      <c r="W34" s="27"/>
      <c r="X34" s="27"/>
    </row>
    <row r="35" ht="14.25" customHeight="1">
      <c r="A35" s="51">
        <v>45977.0</v>
      </c>
      <c r="B35" s="56"/>
      <c r="C35" s="53"/>
      <c r="D35" s="53"/>
      <c r="E35" s="53"/>
      <c r="F35" s="27"/>
      <c r="G35" s="53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27"/>
      <c r="U35" s="10" t="s">
        <v>85</v>
      </c>
      <c r="V35" s="27"/>
      <c r="W35" s="27"/>
      <c r="X35" s="27"/>
    </row>
    <row r="36" ht="14.25" customHeight="1">
      <c r="A36" s="51">
        <v>45978.0</v>
      </c>
      <c r="B36" s="56"/>
      <c r="C36" s="53"/>
      <c r="D36" s="53"/>
      <c r="E36" s="53"/>
      <c r="F36" s="27"/>
      <c r="G36" s="53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27"/>
      <c r="U36" s="10" t="s">
        <v>251</v>
      </c>
      <c r="V36" s="27"/>
      <c r="W36" s="27"/>
      <c r="X36" s="27"/>
    </row>
    <row r="37" ht="14.25" customHeight="1">
      <c r="A37" s="51">
        <v>45978.0</v>
      </c>
      <c r="B37" s="12"/>
      <c r="C37" s="53"/>
      <c r="D37" s="53"/>
      <c r="E37" s="53"/>
      <c r="F37" s="27"/>
      <c r="G37" s="53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27"/>
      <c r="U37" s="10" t="s">
        <v>252</v>
      </c>
      <c r="V37" s="27"/>
      <c r="W37" s="27"/>
      <c r="X37" s="27"/>
    </row>
    <row r="38" ht="14.25" customHeight="1">
      <c r="A38" s="51">
        <v>45979.0</v>
      </c>
      <c r="B38" s="52"/>
      <c r="C38" s="53"/>
      <c r="D38" s="53"/>
      <c r="E38" s="53"/>
      <c r="F38" s="27"/>
      <c r="G38" s="53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27"/>
      <c r="U38" s="21"/>
      <c r="V38" s="27"/>
      <c r="W38" s="27"/>
      <c r="X38" s="27"/>
    </row>
    <row r="39" ht="14.25" customHeight="1">
      <c r="A39" s="51">
        <v>45979.0</v>
      </c>
      <c r="B39" s="52"/>
      <c r="C39" s="53"/>
      <c r="D39" s="53"/>
      <c r="E39" s="53"/>
      <c r="F39" s="27"/>
      <c r="G39" s="53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27"/>
      <c r="U39" s="10" t="s">
        <v>253</v>
      </c>
      <c r="V39" s="27"/>
      <c r="W39" s="27"/>
      <c r="X39" s="27"/>
    </row>
    <row r="40" ht="14.25" customHeight="1">
      <c r="A40" s="51">
        <v>45980.0</v>
      </c>
      <c r="B40" s="52"/>
      <c r="C40" s="53"/>
      <c r="D40" s="53"/>
      <c r="E40" s="53"/>
      <c r="F40" s="27"/>
      <c r="G40" s="53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27"/>
      <c r="U40" s="10" t="s">
        <v>254</v>
      </c>
      <c r="V40" s="27"/>
      <c r="W40" s="27"/>
      <c r="X40" s="27"/>
    </row>
    <row r="41" ht="14.25" customHeight="1">
      <c r="A41" s="51">
        <v>45980.0</v>
      </c>
      <c r="B41" s="52"/>
      <c r="C41" s="53"/>
      <c r="D41" s="53"/>
      <c r="E41" s="53"/>
      <c r="F41" s="27"/>
      <c r="G41" s="53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27"/>
      <c r="V41" s="27"/>
      <c r="W41" s="27"/>
      <c r="X41" s="27"/>
    </row>
    <row r="42" ht="14.25" customHeight="1">
      <c r="A42" s="51">
        <v>45981.0</v>
      </c>
      <c r="B42" s="52"/>
      <c r="C42" s="53"/>
      <c r="D42" s="53"/>
      <c r="E42" s="53"/>
      <c r="F42" s="27"/>
      <c r="G42" s="53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27"/>
      <c r="U42" s="21" t="s">
        <v>88</v>
      </c>
      <c r="V42" s="27"/>
      <c r="W42" s="27"/>
      <c r="X42" s="27"/>
    </row>
    <row r="43" ht="14.25" customHeight="1">
      <c r="A43" s="51">
        <v>45981.0</v>
      </c>
      <c r="B43" s="52"/>
      <c r="C43" s="53"/>
      <c r="D43" s="53"/>
      <c r="E43" s="53"/>
      <c r="F43" s="27"/>
      <c r="G43" s="53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27"/>
      <c r="V43" s="27"/>
      <c r="W43" s="27"/>
      <c r="X43" s="27"/>
    </row>
    <row r="44" ht="14.25" customHeight="1">
      <c r="A44" s="51">
        <v>45982.0</v>
      </c>
      <c r="B44" s="12"/>
      <c r="C44" s="12"/>
      <c r="D44" s="11"/>
      <c r="E44" s="15"/>
      <c r="G44" s="15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U44" s="21"/>
    </row>
    <row r="45" ht="14.25" customHeight="1">
      <c r="A45" s="51">
        <v>45982.0</v>
      </c>
      <c r="B45" s="56"/>
      <c r="C45" s="12"/>
      <c r="D45" s="11"/>
      <c r="E45" s="15"/>
      <c r="G45" s="15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ht="14.25" customHeight="1">
      <c r="A46" s="51">
        <v>45983.0</v>
      </c>
      <c r="B46" s="12"/>
      <c r="C46" s="12"/>
      <c r="D46" s="11"/>
      <c r="E46" s="15"/>
      <c r="G46" s="15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U46" s="21"/>
    </row>
    <row r="47" ht="14.25" customHeight="1">
      <c r="A47" s="51">
        <v>45983.0</v>
      </c>
      <c r="B47" s="12"/>
      <c r="C47" s="12"/>
      <c r="D47" s="11"/>
      <c r="E47" s="15"/>
      <c r="G47" s="15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ht="14.25" customHeight="1">
      <c r="A48" s="51">
        <v>45984.0</v>
      </c>
      <c r="B48" s="12"/>
      <c r="C48" s="12"/>
      <c r="D48" s="11"/>
      <c r="E48" s="15"/>
      <c r="G48" s="15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U48" s="14"/>
    </row>
    <row r="49" ht="14.25" customHeight="1">
      <c r="A49" s="51">
        <v>45984.0</v>
      </c>
      <c r="B49" s="12"/>
      <c r="C49" s="12"/>
      <c r="D49" s="11"/>
      <c r="E49" s="15"/>
      <c r="G49" s="15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U49" s="14"/>
    </row>
    <row r="50" ht="14.25" customHeight="1">
      <c r="A50" s="51">
        <v>45985.0</v>
      </c>
      <c r="B50" s="12"/>
      <c r="C50" s="12"/>
      <c r="D50" s="11"/>
      <c r="E50" s="15"/>
      <c r="G50" s="15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ht="14.25" customHeight="1">
      <c r="A51" s="51">
        <v>45985.0</v>
      </c>
      <c r="B51" s="12"/>
      <c r="C51" s="12"/>
      <c r="D51" s="11"/>
      <c r="E51" s="15"/>
      <c r="G51" s="15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ht="14.25" customHeight="1">
      <c r="A52" s="51">
        <v>45986.0</v>
      </c>
      <c r="B52" s="12"/>
      <c r="C52" s="12"/>
      <c r="D52" s="11"/>
      <c r="E52" s="15"/>
      <c r="G52" s="15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ht="14.25" customHeight="1">
      <c r="A53" s="51">
        <v>45986.0</v>
      </c>
      <c r="B53" s="11"/>
      <c r="C53" s="12"/>
      <c r="D53" s="11"/>
      <c r="E53" s="15"/>
      <c r="G53" s="15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ht="14.25" customHeight="1">
      <c r="A54" s="51">
        <v>45987.0</v>
      </c>
      <c r="B54" s="12"/>
      <c r="C54" s="12"/>
      <c r="D54" s="11"/>
      <c r="E54" s="15"/>
      <c r="G54" s="15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ht="14.25" customHeight="1">
      <c r="A55" s="51">
        <v>45987.0</v>
      </c>
      <c r="B55" s="12"/>
      <c r="C55" s="12"/>
      <c r="D55" s="11"/>
      <c r="E55" s="15"/>
      <c r="G55" s="15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ht="14.25" customHeight="1">
      <c r="A56" s="51">
        <v>45988.0</v>
      </c>
      <c r="B56" s="12"/>
      <c r="C56" s="12"/>
      <c r="D56" s="11"/>
      <c r="E56" s="15"/>
      <c r="G56" s="15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ht="14.25" customHeight="1">
      <c r="A57" s="51">
        <v>45988.0</v>
      </c>
      <c r="B57" s="12"/>
      <c r="C57" s="12"/>
      <c r="D57" s="11"/>
      <c r="E57" s="15"/>
      <c r="G57" s="15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ht="14.25" customHeight="1">
      <c r="A58" s="51">
        <v>45989.0</v>
      </c>
      <c r="B58" s="56"/>
      <c r="C58" s="15"/>
      <c r="D58" s="11"/>
      <c r="E58" s="15"/>
      <c r="G58" s="15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ht="14.25" customHeight="1">
      <c r="A59" s="51">
        <v>45989.0</v>
      </c>
      <c r="B59" s="15"/>
      <c r="C59" s="15"/>
      <c r="D59" s="11"/>
      <c r="E59" s="15"/>
      <c r="G59" s="15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ht="14.25" customHeight="1">
      <c r="A60" s="51">
        <v>45990.0</v>
      </c>
      <c r="B60" s="11"/>
      <c r="C60" s="11"/>
      <c r="D60" s="11"/>
      <c r="E60" s="15"/>
      <c r="G60" s="15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ht="14.25" customHeight="1">
      <c r="A61" s="51">
        <v>45990.0</v>
      </c>
      <c r="B61" s="11"/>
      <c r="C61" s="11"/>
      <c r="D61" s="11"/>
      <c r="E61" s="15"/>
      <c r="G61" s="15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ht="14.25" customHeight="1">
      <c r="A62" s="51">
        <v>45991.0</v>
      </c>
      <c r="B62" s="11"/>
      <c r="C62" s="11"/>
      <c r="D62" s="11"/>
      <c r="E62" s="15"/>
      <c r="G62" s="15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ht="14.25" customHeight="1">
      <c r="A63" s="51">
        <v>45991.0</v>
      </c>
      <c r="B63" s="15"/>
      <c r="C63" s="15"/>
      <c r="D63" s="11"/>
      <c r="E63" s="15"/>
      <c r="G63" s="11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ht="14.25" customHeight="1">
      <c r="A64" s="82" t="s">
        <v>255</v>
      </c>
      <c r="B64" s="15"/>
      <c r="C64" s="15"/>
      <c r="D64" s="15"/>
      <c r="E64" s="15"/>
      <c r="G64" s="15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ht="14.25" customHeight="1">
      <c r="A65" s="82" t="s">
        <v>255</v>
      </c>
      <c r="B65" s="40"/>
      <c r="C65" s="40"/>
      <c r="D65" s="40"/>
      <c r="E65" s="40"/>
      <c r="G65" s="40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</row>
    <row r="66" ht="14.25" customHeight="1">
      <c r="A66" s="86" t="s">
        <v>47</v>
      </c>
      <c r="B66" s="87"/>
      <c r="C66" s="87">
        <f>SUM(C4:C65)</f>
        <v>0</v>
      </c>
      <c r="D66" s="87">
        <f t="shared" ref="D66:T66" si="1">SUM(D3:D65)</f>
        <v>0</v>
      </c>
      <c r="E66" s="87">
        <f t="shared" si="1"/>
        <v>0</v>
      </c>
      <c r="F66" s="87">
        <f t="shared" si="1"/>
        <v>0</v>
      </c>
      <c r="G66" s="87">
        <f t="shared" si="1"/>
        <v>0</v>
      </c>
      <c r="H66" s="127">
        <f t="shared" si="1"/>
        <v>0</v>
      </c>
      <c r="I66" s="127">
        <f t="shared" si="1"/>
        <v>0</v>
      </c>
      <c r="J66" s="127">
        <f t="shared" si="1"/>
        <v>0</v>
      </c>
      <c r="K66" s="127">
        <f t="shared" si="1"/>
        <v>0</v>
      </c>
      <c r="L66" s="127">
        <f t="shared" si="1"/>
        <v>0</v>
      </c>
      <c r="M66" s="127">
        <f t="shared" si="1"/>
        <v>0</v>
      </c>
      <c r="N66" s="127">
        <f t="shared" si="1"/>
        <v>0</v>
      </c>
      <c r="O66" s="127">
        <f t="shared" si="1"/>
        <v>0</v>
      </c>
      <c r="P66" s="127">
        <f t="shared" si="1"/>
        <v>0</v>
      </c>
      <c r="Q66" s="127">
        <f t="shared" si="1"/>
        <v>0</v>
      </c>
      <c r="R66" s="127">
        <f t="shared" si="1"/>
        <v>0</v>
      </c>
      <c r="S66" s="127">
        <f t="shared" si="1"/>
        <v>0</v>
      </c>
      <c r="T66" s="75">
        <f t="shared" si="1"/>
        <v>0</v>
      </c>
      <c r="U66" s="45"/>
      <c r="V66" s="45"/>
      <c r="W66" s="45"/>
      <c r="X66" s="45"/>
    </row>
    <row r="67" ht="14.25" customHeight="1">
      <c r="A67" s="89"/>
    </row>
    <row r="68" ht="14.25" customHeight="1">
      <c r="A68" s="89"/>
      <c r="B68" s="14"/>
      <c r="C68" s="14"/>
      <c r="D68" s="14"/>
    </row>
    <row r="69" ht="14.25" customHeight="1">
      <c r="A69" s="89"/>
      <c r="B69" s="14"/>
      <c r="C69" s="14"/>
      <c r="D69" s="14"/>
    </row>
    <row r="70" ht="14.25" customHeight="1">
      <c r="A70" s="89"/>
      <c r="B70" s="14"/>
      <c r="C70" s="14"/>
      <c r="D70" s="14"/>
    </row>
    <row r="71" ht="14.25" customHeight="1">
      <c r="A71" s="89"/>
      <c r="B71" s="14"/>
      <c r="C71" s="14"/>
      <c r="D71" s="14"/>
    </row>
    <row r="72" ht="14.25" customHeight="1">
      <c r="A72" s="89"/>
      <c r="B72" s="14"/>
      <c r="C72" s="14"/>
      <c r="D72" s="14"/>
    </row>
    <row r="73" ht="14.25" customHeight="1">
      <c r="A73" s="89"/>
      <c r="B73" s="14"/>
      <c r="C73" s="14"/>
      <c r="D73" s="14"/>
    </row>
    <row r="74" ht="14.25" customHeight="1">
      <c r="A74" s="89"/>
      <c r="B74" s="14"/>
      <c r="C74" s="14"/>
      <c r="D74" s="14"/>
    </row>
    <row r="75" ht="14.25" customHeight="1">
      <c r="A75" s="89"/>
    </row>
    <row r="76" ht="14.25" customHeight="1">
      <c r="A76" s="89"/>
    </row>
    <row r="77" ht="14.25" customHeight="1">
      <c r="A77" s="89"/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4.25" customHeight="1">
      <c r="A265" s="89"/>
    </row>
    <row r="266" ht="14.25" customHeight="1">
      <c r="A266" s="89"/>
    </row>
    <row r="267" ht="15.75" customHeight="1">
      <c r="A267" s="89"/>
    </row>
    <row r="268" ht="15.75" customHeight="1">
      <c r="A268" s="89"/>
    </row>
    <row r="269" ht="15.75" customHeight="1">
      <c r="A269" s="89"/>
    </row>
    <row r="270" ht="15.75" customHeight="1">
      <c r="A270" s="89"/>
    </row>
    <row r="271" ht="15.7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  <row r="971" ht="15.75" customHeight="1">
      <c r="A971" s="89"/>
    </row>
    <row r="972" ht="15.75" customHeight="1">
      <c r="A972" s="89"/>
    </row>
    <row r="973" ht="15.75" customHeight="1">
      <c r="A973" s="89"/>
    </row>
    <row r="974" ht="15.75" customHeight="1">
      <c r="A974" s="89"/>
    </row>
    <row r="975" ht="15.75" customHeight="1">
      <c r="A975" s="89"/>
    </row>
    <row r="976" ht="15.75" customHeight="1">
      <c r="A976" s="89"/>
    </row>
    <row r="977" ht="15.75" customHeight="1">
      <c r="A977" s="89"/>
    </row>
    <row r="978" ht="15.75" customHeight="1">
      <c r="A978" s="89"/>
    </row>
    <row r="979" ht="15.75" customHeight="1">
      <c r="A979" s="89"/>
    </row>
    <row r="980" ht="15.75" customHeight="1">
      <c r="A980" s="89"/>
    </row>
    <row r="981" ht="15.75" customHeight="1">
      <c r="A981" s="89"/>
    </row>
    <row r="982" ht="15.75" customHeight="1">
      <c r="A982" s="89"/>
    </row>
    <row r="983" ht="15.75" customHeight="1">
      <c r="A983" s="89"/>
    </row>
    <row r="984" ht="15.75" customHeight="1">
      <c r="A984" s="89"/>
    </row>
    <row r="985" ht="15.75" customHeight="1">
      <c r="A985" s="89"/>
    </row>
    <row r="986" ht="15.75" customHeight="1">
      <c r="A986" s="89"/>
    </row>
    <row r="987" ht="15.75" customHeight="1">
      <c r="A987" s="89"/>
    </row>
    <row r="988" ht="15.75" customHeight="1">
      <c r="A988" s="89"/>
    </row>
    <row r="989" ht="15.75" customHeight="1">
      <c r="A989" s="89"/>
    </row>
    <row r="990" ht="15.75" customHeight="1">
      <c r="A990" s="89"/>
    </row>
    <row r="991" ht="15.75" customHeight="1">
      <c r="A991" s="89"/>
    </row>
    <row r="992" ht="15.75" customHeight="1">
      <c r="A992" s="89"/>
    </row>
    <row r="993" ht="15.75" customHeight="1">
      <c r="A993" s="89"/>
    </row>
    <row r="994" ht="15.75" customHeight="1">
      <c r="A994" s="89"/>
    </row>
    <row r="995" ht="15.75" customHeight="1">
      <c r="A995" s="89"/>
    </row>
    <row r="996" ht="15.75" customHeight="1">
      <c r="A996" s="89"/>
    </row>
    <row r="997" ht="15.75" customHeight="1">
      <c r="A997" s="89"/>
    </row>
    <row r="998" ht="15.75" customHeight="1">
      <c r="A998" s="89"/>
    </row>
    <row r="999" ht="15.75" customHeight="1">
      <c r="A999" s="89"/>
    </row>
    <row r="1000" ht="15.75" customHeight="1">
      <c r="A1000" s="89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8.43"/>
    <col customWidth="1" min="3" max="3" width="12.86"/>
    <col customWidth="1" min="4" max="4" width="16.29"/>
    <col customWidth="1" min="5" max="5" width="16.57"/>
    <col customWidth="1" min="6" max="6" width="15.57"/>
    <col customWidth="1" min="7" max="7" width="12.71"/>
    <col customWidth="1" min="8" max="8" width="14.14"/>
    <col customWidth="1" min="9" max="9" width="9.29"/>
    <col customWidth="1" min="10" max="10" width="9.86"/>
    <col customWidth="1" min="11" max="11" width="10.29"/>
    <col customWidth="1" min="12" max="12" width="12.0"/>
    <col customWidth="1" min="13" max="13" width="13.29"/>
    <col customWidth="1" min="14" max="14" width="11.29"/>
    <col customWidth="1" min="15" max="16" width="11.57"/>
    <col customWidth="1" min="17" max="17" width="11.0"/>
    <col customWidth="1" min="18" max="18" width="10.86"/>
    <col customWidth="1" min="19" max="19" width="8.71"/>
    <col customWidth="1" min="20" max="20" width="11.57"/>
    <col customWidth="1" min="21" max="21" width="72.71"/>
    <col customWidth="1" min="22" max="24" width="8.71"/>
  </cols>
  <sheetData>
    <row r="1" ht="56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45.0" customHeight="1">
      <c r="A2" s="7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7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142"/>
      <c r="B3" s="143"/>
      <c r="C3" s="144"/>
      <c r="D3" s="144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/>
      <c r="U3" s="17" t="s">
        <v>20</v>
      </c>
      <c r="V3" s="27"/>
      <c r="W3" s="27"/>
      <c r="X3" s="27"/>
    </row>
    <row r="4" ht="14.25" customHeight="1">
      <c r="A4" s="145">
        <v>45992.0</v>
      </c>
      <c r="B4" s="146"/>
      <c r="C4" s="147"/>
      <c r="D4" s="148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/>
      <c r="U4" s="21" t="s">
        <v>65</v>
      </c>
      <c r="V4" s="27"/>
      <c r="W4" s="27"/>
      <c r="X4" s="27"/>
    </row>
    <row r="5" ht="14.25" customHeight="1">
      <c r="A5" s="145">
        <v>45992.0</v>
      </c>
      <c r="B5" s="146"/>
      <c r="C5" s="147"/>
      <c r="D5" s="148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/>
      <c r="U5" s="17" t="s">
        <v>215</v>
      </c>
      <c r="V5" s="27"/>
      <c r="W5" s="27"/>
      <c r="X5" s="27"/>
    </row>
    <row r="6" ht="14.25" customHeight="1">
      <c r="A6" s="145">
        <v>45993.0</v>
      </c>
      <c r="B6" s="146"/>
      <c r="C6" s="147"/>
      <c r="D6" s="148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/>
      <c r="U6" s="17" t="s">
        <v>239</v>
      </c>
      <c r="V6" s="27"/>
      <c r="W6" s="27"/>
      <c r="X6" s="27"/>
    </row>
    <row r="7" ht="14.25" customHeight="1">
      <c r="A7" s="145">
        <v>45993.0</v>
      </c>
      <c r="B7" s="149"/>
      <c r="C7" s="134"/>
      <c r="D7" s="148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27"/>
      <c r="U7" s="17" t="s">
        <v>92</v>
      </c>
      <c r="V7" s="27"/>
      <c r="W7" s="27"/>
      <c r="X7" s="27"/>
    </row>
    <row r="8" ht="14.25" customHeight="1">
      <c r="A8" s="145">
        <v>45994.0</v>
      </c>
      <c r="B8" s="150"/>
      <c r="C8" s="148"/>
      <c r="D8" s="148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/>
      <c r="U8" s="21" t="s">
        <v>67</v>
      </c>
      <c r="V8" s="27"/>
      <c r="W8" s="27"/>
      <c r="X8" s="27"/>
    </row>
    <row r="9" ht="14.25" customHeight="1">
      <c r="A9" s="145">
        <v>45994.0</v>
      </c>
      <c r="B9" s="150"/>
      <c r="C9" s="148"/>
      <c r="D9" s="148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/>
      <c r="U9" s="17" t="s">
        <v>240</v>
      </c>
      <c r="V9" s="27"/>
      <c r="W9" s="27"/>
      <c r="X9" s="27"/>
    </row>
    <row r="10" ht="14.25" customHeight="1">
      <c r="A10" s="145">
        <v>45995.0</v>
      </c>
      <c r="B10" s="146"/>
      <c r="C10" s="148"/>
      <c r="D10" s="148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17" t="s">
        <v>28</v>
      </c>
      <c r="V10" s="27"/>
      <c r="W10" s="27"/>
      <c r="X10" s="27"/>
    </row>
    <row r="11" ht="14.25" customHeight="1">
      <c r="A11" s="145">
        <v>45995.0</v>
      </c>
      <c r="B11" s="150"/>
      <c r="C11" s="148"/>
      <c r="D11" s="148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/>
      <c r="U11" s="17" t="s">
        <v>68</v>
      </c>
      <c r="V11" s="27"/>
      <c r="W11" s="27"/>
      <c r="X11" s="27"/>
    </row>
    <row r="12" ht="14.25" customHeight="1">
      <c r="A12" s="145">
        <v>45996.0</v>
      </c>
      <c r="B12" s="150"/>
      <c r="C12" s="148"/>
      <c r="D12" s="148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/>
      <c r="U12" s="17" t="s">
        <v>29</v>
      </c>
      <c r="V12" s="27"/>
      <c r="W12" s="27"/>
      <c r="X12" s="27"/>
    </row>
    <row r="13" ht="14.25" customHeight="1">
      <c r="A13" s="145">
        <v>45996.0</v>
      </c>
      <c r="B13" s="150"/>
      <c r="C13" s="148"/>
      <c r="D13" s="148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27"/>
      <c r="U13" s="27" t="s">
        <v>69</v>
      </c>
      <c r="V13" s="27"/>
      <c r="W13" s="27"/>
      <c r="X13" s="27"/>
    </row>
    <row r="14" ht="14.25" customHeight="1">
      <c r="A14" s="145">
        <v>45997.0</v>
      </c>
      <c r="B14" s="150"/>
      <c r="C14" s="148"/>
      <c r="D14" s="148"/>
      <c r="E14" s="53"/>
      <c r="F14" s="53"/>
      <c r="G14" s="53"/>
      <c r="H14" s="53"/>
      <c r="I14" s="53"/>
      <c r="J14" s="53"/>
      <c r="K14" s="53"/>
      <c r="L14" s="53"/>
      <c r="M14" s="15"/>
      <c r="N14" s="53"/>
      <c r="O14" s="53"/>
      <c r="P14" s="53"/>
      <c r="Q14" s="53"/>
      <c r="R14" s="53"/>
      <c r="S14" s="53"/>
      <c r="T14" s="27"/>
      <c r="U14" s="17" t="s">
        <v>70</v>
      </c>
      <c r="V14" s="27"/>
      <c r="W14" s="27"/>
      <c r="X14" s="27"/>
    </row>
    <row r="15" ht="14.25" customHeight="1">
      <c r="A15" s="145">
        <v>45997.0</v>
      </c>
      <c r="B15" s="150"/>
      <c r="C15" s="148"/>
      <c r="D15" s="148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17" t="s">
        <v>256</v>
      </c>
      <c r="V15" s="27"/>
      <c r="W15" s="27"/>
      <c r="X15" s="27"/>
    </row>
    <row r="16" ht="14.25" customHeight="1">
      <c r="A16" s="145">
        <v>45998.0</v>
      </c>
      <c r="B16" s="146"/>
      <c r="C16" s="151"/>
      <c r="D16" s="148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/>
      <c r="U16" s="21" t="s">
        <v>72</v>
      </c>
      <c r="V16" s="27"/>
      <c r="W16" s="27"/>
      <c r="X16" s="27"/>
    </row>
    <row r="17" ht="14.25" customHeight="1">
      <c r="A17" s="145">
        <v>45998.0</v>
      </c>
      <c r="B17" s="146"/>
      <c r="C17" s="151"/>
      <c r="D17" s="148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/>
      <c r="U17" s="17" t="s">
        <v>241</v>
      </c>
      <c r="V17" s="27"/>
      <c r="W17" s="27"/>
      <c r="X17" s="27"/>
    </row>
    <row r="18" ht="14.25" customHeight="1">
      <c r="A18" s="145">
        <v>45999.0</v>
      </c>
      <c r="B18" s="150"/>
      <c r="C18" s="148"/>
      <c r="D18" s="148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27"/>
      <c r="U18" s="17" t="s">
        <v>257</v>
      </c>
      <c r="V18" s="27"/>
      <c r="W18" s="27"/>
      <c r="X18" s="27"/>
    </row>
    <row r="19" ht="14.25" customHeight="1">
      <c r="A19" s="145">
        <v>45999.0</v>
      </c>
      <c r="B19" s="150"/>
      <c r="C19" s="148"/>
      <c r="D19" s="148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27"/>
      <c r="U19" s="21" t="s">
        <v>258</v>
      </c>
      <c r="V19" s="27"/>
      <c r="W19" s="27"/>
      <c r="X19" s="27"/>
    </row>
    <row r="20" ht="14.25" customHeight="1">
      <c r="A20" s="145">
        <v>46000.0</v>
      </c>
      <c r="B20" s="150"/>
      <c r="C20" s="148"/>
      <c r="D20" s="148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27"/>
      <c r="U20" s="21" t="s">
        <v>259</v>
      </c>
      <c r="V20" s="27"/>
      <c r="W20" s="27"/>
      <c r="X20" s="27"/>
    </row>
    <row r="21" ht="14.25" customHeight="1">
      <c r="A21" s="145">
        <v>46000.0</v>
      </c>
      <c r="B21" s="151"/>
      <c r="C21" s="148"/>
      <c r="D21" s="148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7"/>
      <c r="U21" s="21" t="s">
        <v>260</v>
      </c>
      <c r="V21" s="27"/>
      <c r="W21" s="27"/>
      <c r="X21" s="27"/>
    </row>
    <row r="22" ht="14.25" customHeight="1">
      <c r="A22" s="145">
        <v>46001.0</v>
      </c>
      <c r="B22" s="150"/>
      <c r="C22" s="148"/>
      <c r="D22" s="148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27"/>
      <c r="U22" s="17" t="s">
        <v>261</v>
      </c>
      <c r="V22" s="27"/>
      <c r="W22" s="27"/>
      <c r="X22" s="27"/>
    </row>
    <row r="23" ht="14.25" customHeight="1">
      <c r="A23" s="145">
        <v>46001.0</v>
      </c>
      <c r="B23" s="151"/>
      <c r="C23" s="148"/>
      <c r="D23" s="148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27"/>
      <c r="U23" s="21" t="s">
        <v>39</v>
      </c>
      <c r="V23" s="27"/>
      <c r="W23" s="27"/>
      <c r="X23" s="27"/>
    </row>
    <row r="24" ht="14.25" customHeight="1">
      <c r="A24" s="145">
        <v>46002.0</v>
      </c>
      <c r="B24" s="152"/>
      <c r="C24" s="148"/>
      <c r="D24" s="148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7"/>
      <c r="U24" s="17" t="s">
        <v>262</v>
      </c>
      <c r="V24" s="27"/>
      <c r="W24" s="27"/>
      <c r="X24" s="27"/>
    </row>
    <row r="25" ht="14.25" customHeight="1">
      <c r="A25" s="145">
        <v>46002.0</v>
      </c>
      <c r="B25" s="146"/>
      <c r="C25" s="148"/>
      <c r="D25" s="148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/>
      <c r="U25" s="10" t="s">
        <v>79</v>
      </c>
      <c r="V25" s="27"/>
      <c r="W25" s="27"/>
      <c r="X25" s="27"/>
    </row>
    <row r="26" ht="14.25" customHeight="1">
      <c r="A26" s="145">
        <v>46003.0</v>
      </c>
      <c r="B26" s="151"/>
      <c r="C26" s="151"/>
      <c r="D26" s="148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27"/>
      <c r="U26" s="10" t="s">
        <v>263</v>
      </c>
      <c r="V26" s="27"/>
      <c r="W26" s="27"/>
      <c r="X26" s="27"/>
    </row>
    <row r="27" ht="14.25" customHeight="1">
      <c r="A27" s="145">
        <v>46003.0</v>
      </c>
      <c r="B27" s="151"/>
      <c r="C27" s="151"/>
      <c r="D27" s="148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27"/>
      <c r="U27" s="10" t="s">
        <v>264</v>
      </c>
      <c r="V27" s="27"/>
      <c r="W27" s="27"/>
      <c r="X27" s="27"/>
    </row>
    <row r="28" ht="14.25" customHeight="1">
      <c r="A28" s="145">
        <v>46004.0</v>
      </c>
      <c r="B28" s="151"/>
      <c r="C28" s="151"/>
      <c r="D28" s="148"/>
      <c r="E28" s="53"/>
      <c r="F28" s="53"/>
      <c r="G28" s="53"/>
      <c r="H28" s="53"/>
      <c r="I28" s="53"/>
      <c r="J28" s="53"/>
      <c r="K28" s="53"/>
      <c r="L28" s="53"/>
      <c r="M28" s="15"/>
      <c r="N28" s="53"/>
      <c r="O28" s="53"/>
      <c r="P28" s="53"/>
      <c r="Q28" s="53"/>
      <c r="R28" s="53"/>
      <c r="S28" s="53"/>
      <c r="T28" s="27"/>
      <c r="U28" s="21" t="s">
        <v>265</v>
      </c>
      <c r="V28" s="27"/>
      <c r="W28" s="27"/>
      <c r="X28" s="27"/>
    </row>
    <row r="29" ht="14.25" customHeight="1">
      <c r="A29" s="145">
        <v>46004.0</v>
      </c>
      <c r="B29" s="150"/>
      <c r="C29" s="151"/>
      <c r="D29" s="148"/>
      <c r="E29" s="53"/>
      <c r="F29" s="53"/>
      <c r="G29" s="53"/>
      <c r="H29" s="53"/>
      <c r="I29" s="53"/>
      <c r="J29" s="53"/>
      <c r="K29" s="53"/>
      <c r="L29" s="53"/>
      <c r="M29" s="15"/>
      <c r="N29" s="53"/>
      <c r="O29" s="53"/>
      <c r="P29" s="53"/>
      <c r="Q29" s="53"/>
      <c r="R29" s="53"/>
      <c r="S29" s="53"/>
      <c r="T29" s="27"/>
      <c r="U29" s="10" t="s">
        <v>81</v>
      </c>
      <c r="V29" s="27"/>
      <c r="W29" s="27"/>
      <c r="X29" s="27"/>
    </row>
    <row r="30" ht="14.25" customHeight="1">
      <c r="A30" s="145">
        <v>46005.0</v>
      </c>
      <c r="B30" s="151"/>
      <c r="C30" s="151"/>
      <c r="D30" s="148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27"/>
      <c r="U30" s="10" t="s">
        <v>266</v>
      </c>
      <c r="V30" s="27"/>
      <c r="W30" s="27"/>
      <c r="X30" s="27"/>
    </row>
    <row r="31" ht="14.25" customHeight="1">
      <c r="A31" s="145">
        <v>46005.0</v>
      </c>
      <c r="B31" s="151"/>
      <c r="C31" s="151"/>
      <c r="D31" s="148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7"/>
      <c r="U31" s="21" t="s">
        <v>21</v>
      </c>
      <c r="V31" s="27"/>
      <c r="W31" s="27"/>
      <c r="X31" s="27"/>
    </row>
    <row r="32" ht="14.25" customHeight="1">
      <c r="A32" s="145">
        <v>46006.0</v>
      </c>
      <c r="B32" s="12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27"/>
      <c r="U32" s="10" t="s">
        <v>267</v>
      </c>
      <c r="V32" s="27"/>
      <c r="W32" s="27"/>
      <c r="X32" s="27"/>
    </row>
    <row r="33" ht="14.25" customHeight="1">
      <c r="A33" s="145">
        <v>46006.0</v>
      </c>
      <c r="B33" s="56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/>
      <c r="U33" s="21" t="s">
        <v>250</v>
      </c>
      <c r="V33" s="27"/>
      <c r="W33" s="27"/>
      <c r="X33" s="27"/>
    </row>
    <row r="34" ht="14.25" customHeight="1">
      <c r="A34" s="145">
        <v>46007.0</v>
      </c>
      <c r="B34" s="56"/>
      <c r="C34" s="53"/>
      <c r="D34" s="53"/>
      <c r="E34" s="53"/>
      <c r="F34" s="53"/>
      <c r="G34" s="53"/>
      <c r="H34" s="53"/>
      <c r="I34" s="53"/>
      <c r="J34" s="53"/>
      <c r="K34" s="11"/>
      <c r="L34" s="53"/>
      <c r="M34" s="15"/>
      <c r="N34" s="53"/>
      <c r="O34" s="53"/>
      <c r="P34" s="53"/>
      <c r="Q34" s="53"/>
      <c r="R34" s="53"/>
      <c r="S34" s="53"/>
      <c r="T34" s="27"/>
      <c r="U34" s="21" t="s">
        <v>84</v>
      </c>
      <c r="V34" s="27"/>
      <c r="W34" s="27"/>
      <c r="X34" s="27"/>
    </row>
    <row r="35" ht="14.25" customHeight="1">
      <c r="A35" s="145">
        <v>46007.0</v>
      </c>
      <c r="B35" s="5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7"/>
      <c r="U35" s="10" t="s">
        <v>85</v>
      </c>
      <c r="V35" s="27"/>
      <c r="W35" s="27"/>
      <c r="X35" s="27"/>
    </row>
    <row r="36" ht="14.25" customHeight="1">
      <c r="A36" s="145">
        <v>46008.0</v>
      </c>
      <c r="B36" s="56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27"/>
      <c r="U36" s="10" t="s">
        <v>268</v>
      </c>
      <c r="V36" s="27"/>
      <c r="W36" s="27"/>
      <c r="X36" s="27"/>
    </row>
    <row r="37" ht="14.25" customHeight="1">
      <c r="A37" s="145">
        <v>46008.0</v>
      </c>
      <c r="B37" s="1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27"/>
      <c r="U37" s="10" t="s">
        <v>269</v>
      </c>
      <c r="V37" s="27"/>
      <c r="W37" s="27"/>
      <c r="X37" s="27"/>
    </row>
    <row r="38" ht="14.25" customHeight="1">
      <c r="A38" s="145">
        <v>46009.0</v>
      </c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15"/>
      <c r="N38" s="53"/>
      <c r="O38" s="53"/>
      <c r="P38" s="53"/>
      <c r="Q38" s="53"/>
      <c r="R38" s="53"/>
      <c r="S38" s="53"/>
      <c r="T38" s="27"/>
      <c r="U38" s="21" t="s">
        <v>270</v>
      </c>
      <c r="V38" s="27"/>
      <c r="W38" s="27"/>
      <c r="X38" s="27"/>
    </row>
    <row r="39" ht="14.25" customHeight="1">
      <c r="A39" s="145">
        <v>46009.0</v>
      </c>
      <c r="B39" s="52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27"/>
      <c r="U39" s="10" t="s">
        <v>271</v>
      </c>
      <c r="V39" s="27"/>
      <c r="W39" s="27"/>
      <c r="X39" s="27"/>
    </row>
    <row r="40" ht="14.25" customHeight="1">
      <c r="A40" s="145">
        <v>46010.0</v>
      </c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7"/>
      <c r="U40" s="10" t="s">
        <v>272</v>
      </c>
      <c r="V40" s="27"/>
      <c r="W40" s="27"/>
      <c r="X40" s="27"/>
    </row>
    <row r="41" ht="14.25" customHeight="1">
      <c r="A41" s="145">
        <v>46010.0</v>
      </c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/>
      <c r="U41" s="10" t="s">
        <v>273</v>
      </c>
      <c r="V41" s="27"/>
      <c r="W41" s="27"/>
      <c r="X41" s="27"/>
    </row>
    <row r="42" ht="14.25" customHeight="1">
      <c r="A42" s="145">
        <v>46011.0</v>
      </c>
      <c r="B42" s="52"/>
      <c r="C42" s="53"/>
      <c r="D42" s="11"/>
      <c r="E42" s="53"/>
      <c r="F42" s="53"/>
      <c r="G42" s="53"/>
      <c r="H42" s="53"/>
      <c r="I42" s="53"/>
      <c r="J42" s="53"/>
      <c r="K42" s="53"/>
      <c r="L42" s="53"/>
      <c r="M42" s="15"/>
      <c r="N42" s="53"/>
      <c r="O42" s="53"/>
      <c r="P42" s="53"/>
      <c r="Q42" s="53"/>
      <c r="R42" s="53"/>
      <c r="S42" s="53"/>
      <c r="T42" s="27"/>
      <c r="U42" s="21" t="s">
        <v>88</v>
      </c>
      <c r="V42" s="27"/>
      <c r="W42" s="27"/>
      <c r="X42" s="27"/>
    </row>
    <row r="43" ht="14.25" customHeight="1">
      <c r="A43" s="145">
        <v>46011.0</v>
      </c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15"/>
      <c r="N43" s="53"/>
      <c r="O43" s="53"/>
      <c r="P43" s="53"/>
      <c r="Q43" s="53"/>
      <c r="R43" s="53"/>
      <c r="S43" s="53"/>
      <c r="T43" s="27"/>
      <c r="V43" s="27"/>
      <c r="W43" s="27"/>
      <c r="X43" s="27"/>
    </row>
    <row r="44" ht="14.25" customHeight="1">
      <c r="A44" s="145">
        <v>46012.0</v>
      </c>
      <c r="B44" s="12"/>
      <c r="C44" s="12"/>
      <c r="D44" s="11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U44" s="21"/>
    </row>
    <row r="45" ht="14.25" customHeight="1">
      <c r="A45" s="145">
        <v>46012.0</v>
      </c>
      <c r="B45" s="56"/>
      <c r="C45" s="12"/>
      <c r="D45" s="11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ht="14.25" customHeight="1">
      <c r="A46" s="145">
        <v>46013.0</v>
      </c>
      <c r="B46" s="12"/>
      <c r="C46" s="12"/>
      <c r="D46" s="11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U46" s="21"/>
    </row>
    <row r="47" ht="14.25" customHeight="1">
      <c r="A47" s="145">
        <v>46013.0</v>
      </c>
      <c r="B47" s="12"/>
      <c r="C47" s="12"/>
      <c r="D47" s="11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ht="14.25" customHeight="1">
      <c r="A48" s="145">
        <v>46014.0</v>
      </c>
      <c r="B48" s="12"/>
      <c r="C48" s="12"/>
      <c r="D48" s="11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U48" s="14"/>
    </row>
    <row r="49" ht="14.25" customHeight="1">
      <c r="A49" s="145">
        <v>46014.0</v>
      </c>
      <c r="B49" s="12"/>
      <c r="C49" s="12"/>
      <c r="D49" s="11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1"/>
      <c r="S49" s="15"/>
      <c r="U49" s="14"/>
    </row>
    <row r="50" ht="14.25" customHeight="1">
      <c r="A50" s="145">
        <v>46015.0</v>
      </c>
      <c r="B50" s="12"/>
      <c r="C50" s="12"/>
      <c r="D50" s="11"/>
      <c r="E50" s="15"/>
      <c r="F50" s="15"/>
      <c r="G50" s="15"/>
      <c r="H50" s="15"/>
      <c r="I50" s="15"/>
      <c r="J50" s="15"/>
      <c r="K50" s="11"/>
      <c r="L50" s="15"/>
      <c r="M50" s="15"/>
      <c r="N50" s="15"/>
      <c r="O50" s="15"/>
      <c r="P50" s="11"/>
      <c r="Q50" s="15"/>
      <c r="R50" s="11"/>
      <c r="S50" s="15"/>
    </row>
    <row r="51" ht="14.25" customHeight="1">
      <c r="A51" s="145">
        <v>46015.0</v>
      </c>
      <c r="B51" s="12"/>
      <c r="C51" s="12"/>
      <c r="D51" s="11"/>
      <c r="E51" s="15"/>
      <c r="F51" s="15"/>
      <c r="G51" s="15"/>
      <c r="H51" s="11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ht="14.25" customHeight="1">
      <c r="A52" s="145">
        <v>46016.0</v>
      </c>
      <c r="B52" s="12"/>
      <c r="C52" s="12"/>
      <c r="D52" s="11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ht="14.25" customHeight="1">
      <c r="A53" s="145">
        <v>46016.0</v>
      </c>
      <c r="B53" s="12"/>
      <c r="C53" s="12"/>
      <c r="D53" s="11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U53" s="21"/>
    </row>
    <row r="54" ht="14.25" customHeight="1">
      <c r="A54" s="145">
        <v>46017.0</v>
      </c>
      <c r="B54" s="12"/>
      <c r="C54" s="12"/>
      <c r="D54" s="11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</row>
    <row r="55" ht="14.25" customHeight="1">
      <c r="A55" s="145">
        <v>46017.0</v>
      </c>
      <c r="B55" s="12"/>
      <c r="C55" s="12"/>
      <c r="D55" s="11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ht="14.25" customHeight="1">
      <c r="A56" s="145">
        <v>46018.0</v>
      </c>
      <c r="B56" s="12"/>
      <c r="C56" s="12"/>
      <c r="D56" s="11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1"/>
      <c r="Q56" s="15"/>
      <c r="R56" s="11"/>
      <c r="S56" s="15"/>
    </row>
    <row r="57" ht="14.25" customHeight="1">
      <c r="A57" s="145">
        <v>46018.0</v>
      </c>
      <c r="B57" s="12"/>
      <c r="C57" s="12"/>
      <c r="D57" s="11"/>
      <c r="E57" s="15"/>
      <c r="F57" s="15"/>
      <c r="G57" s="15"/>
      <c r="H57" s="11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ht="14.25" customHeight="1">
      <c r="A58" s="145">
        <v>46019.0</v>
      </c>
      <c r="B58" s="56"/>
      <c r="C58" s="11"/>
      <c r="D58" s="11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ht="14.25" customHeight="1">
      <c r="A59" s="145">
        <v>46019.0</v>
      </c>
      <c r="B59" s="15"/>
      <c r="C59" s="15"/>
      <c r="D59" s="11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0" ht="14.25" customHeight="1">
      <c r="A60" s="145">
        <v>46020.0</v>
      </c>
      <c r="B60" s="15"/>
      <c r="C60" s="15"/>
      <c r="D60" s="11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1" ht="14.25" customHeight="1">
      <c r="A61" s="145">
        <v>46020.0</v>
      </c>
      <c r="B61" s="15"/>
      <c r="C61" s="15"/>
      <c r="D61" s="11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</row>
    <row r="62" ht="14.25" customHeight="1">
      <c r="A62" s="145">
        <v>46021.0</v>
      </c>
      <c r="B62" s="15"/>
      <c r="C62" s="15"/>
      <c r="D62" s="11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</row>
    <row r="63" ht="14.25" customHeight="1">
      <c r="A63" s="145">
        <v>46021.0</v>
      </c>
      <c r="B63" s="11"/>
      <c r="C63" s="11"/>
      <c r="D63" s="11"/>
      <c r="E63" s="15"/>
      <c r="F63" s="15"/>
      <c r="G63" s="15"/>
      <c r="H63" s="11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</row>
    <row r="64" ht="14.25" customHeight="1">
      <c r="A64" s="145">
        <v>46022.0</v>
      </c>
      <c r="B64" s="15"/>
      <c r="C64" s="15"/>
      <c r="D64" s="11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</row>
    <row r="65" ht="14.25" customHeight="1">
      <c r="A65" s="145">
        <v>46022.0</v>
      </c>
      <c r="B65" s="40"/>
      <c r="C65" s="40"/>
      <c r="D65" s="38"/>
      <c r="E65" s="40"/>
      <c r="F65" s="40"/>
      <c r="G65" s="38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</row>
    <row r="66" ht="14.25" customHeight="1">
      <c r="A66" s="86" t="s">
        <v>47</v>
      </c>
      <c r="B66" s="87"/>
      <c r="C66" s="87">
        <f>SUM(C4:C65)</f>
        <v>0</v>
      </c>
      <c r="D66" s="87">
        <f t="shared" ref="D66:T66" si="1">SUM(D3:D65)</f>
        <v>0</v>
      </c>
      <c r="E66" s="87">
        <f t="shared" si="1"/>
        <v>0</v>
      </c>
      <c r="F66" s="87">
        <f t="shared" si="1"/>
        <v>0</v>
      </c>
      <c r="G66" s="87">
        <f t="shared" si="1"/>
        <v>0</v>
      </c>
      <c r="H66" s="87">
        <f t="shared" si="1"/>
        <v>0</v>
      </c>
      <c r="I66" s="87">
        <f t="shared" si="1"/>
        <v>0</v>
      </c>
      <c r="J66" s="87">
        <f t="shared" si="1"/>
        <v>0</v>
      </c>
      <c r="K66" s="87">
        <f t="shared" si="1"/>
        <v>0</v>
      </c>
      <c r="L66" s="87">
        <f t="shared" si="1"/>
        <v>0</v>
      </c>
      <c r="M66" s="127">
        <f t="shared" si="1"/>
        <v>0</v>
      </c>
      <c r="N66" s="87">
        <f t="shared" si="1"/>
        <v>0</v>
      </c>
      <c r="O66" s="87">
        <f t="shared" si="1"/>
        <v>0</v>
      </c>
      <c r="P66" s="87">
        <f t="shared" si="1"/>
        <v>0</v>
      </c>
      <c r="Q66" s="87">
        <f t="shared" si="1"/>
        <v>0</v>
      </c>
      <c r="R66" s="127">
        <f t="shared" si="1"/>
        <v>0</v>
      </c>
      <c r="S66" s="87">
        <f t="shared" si="1"/>
        <v>0</v>
      </c>
      <c r="T66" s="75">
        <f t="shared" si="1"/>
        <v>0</v>
      </c>
      <c r="U66" s="45"/>
      <c r="V66" s="45"/>
      <c r="W66" s="45"/>
      <c r="X66" s="45"/>
    </row>
    <row r="67" ht="14.25" customHeight="1">
      <c r="A67" s="89"/>
    </row>
    <row r="68" ht="14.25" customHeight="1">
      <c r="A68" s="89"/>
      <c r="B68" s="14"/>
      <c r="C68" s="14"/>
      <c r="D68" s="14"/>
    </row>
    <row r="69" ht="14.25" customHeight="1">
      <c r="A69" s="89"/>
      <c r="B69" s="14"/>
      <c r="C69" s="14"/>
      <c r="D69" s="14"/>
    </row>
    <row r="70" ht="14.25" customHeight="1">
      <c r="A70" s="89"/>
      <c r="B70" s="14"/>
      <c r="C70" s="14"/>
      <c r="D70" s="14"/>
    </row>
    <row r="71" ht="14.25" customHeight="1">
      <c r="A71" s="89"/>
      <c r="B71" s="14"/>
      <c r="C71" s="14"/>
      <c r="D71" s="14"/>
    </row>
    <row r="72" ht="14.25" customHeight="1">
      <c r="A72" s="89"/>
      <c r="B72" s="14"/>
      <c r="C72" s="14"/>
      <c r="D72" s="14"/>
    </row>
    <row r="73" ht="14.25" customHeight="1">
      <c r="A73" s="89"/>
      <c r="B73" s="14"/>
      <c r="C73" s="14"/>
      <c r="D73" s="14"/>
    </row>
    <row r="74" ht="14.25" customHeight="1">
      <c r="A74" s="89"/>
      <c r="B74" s="14"/>
      <c r="C74" s="14"/>
      <c r="D74" s="14"/>
    </row>
    <row r="75" ht="14.25" customHeight="1">
      <c r="A75" s="89"/>
    </row>
    <row r="76" ht="14.25" customHeight="1">
      <c r="A76" s="89"/>
    </row>
    <row r="77" ht="14.25" customHeight="1">
      <c r="A77" s="89"/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4.25" customHeight="1">
      <c r="A265" s="89"/>
    </row>
    <row r="266" ht="14.25" customHeight="1">
      <c r="A266" s="89"/>
    </row>
    <row r="267" ht="15.75" customHeight="1">
      <c r="A267" s="89"/>
    </row>
    <row r="268" ht="15.75" customHeight="1">
      <c r="A268" s="89"/>
    </row>
    <row r="269" ht="15.75" customHeight="1">
      <c r="A269" s="89"/>
    </row>
    <row r="270" ht="15.75" customHeight="1">
      <c r="A270" s="89"/>
    </row>
    <row r="271" ht="15.7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  <row r="971" ht="15.75" customHeight="1">
      <c r="A971" s="89"/>
    </row>
    <row r="972" ht="15.75" customHeight="1">
      <c r="A972" s="89"/>
    </row>
    <row r="973" ht="15.75" customHeight="1">
      <c r="A973" s="89"/>
    </row>
    <row r="974" ht="15.75" customHeight="1">
      <c r="A974" s="89"/>
    </row>
    <row r="975" ht="15.75" customHeight="1">
      <c r="A975" s="89"/>
    </row>
    <row r="976" ht="15.75" customHeight="1">
      <c r="A976" s="89"/>
    </row>
    <row r="977" ht="15.75" customHeight="1">
      <c r="A977" s="89"/>
    </row>
    <row r="978" ht="15.75" customHeight="1">
      <c r="A978" s="89"/>
    </row>
    <row r="979" ht="15.75" customHeight="1">
      <c r="A979" s="89"/>
    </row>
    <row r="980" ht="15.75" customHeight="1">
      <c r="A980" s="89"/>
    </row>
    <row r="981" ht="15.75" customHeight="1">
      <c r="A981" s="89"/>
    </row>
    <row r="982" ht="15.75" customHeight="1">
      <c r="A982" s="89"/>
    </row>
    <row r="983" ht="15.75" customHeight="1">
      <c r="A983" s="89"/>
    </row>
    <row r="984" ht="15.75" customHeight="1">
      <c r="A984" s="89"/>
    </row>
    <row r="985" ht="15.75" customHeight="1">
      <c r="A985" s="89"/>
    </row>
    <row r="986" ht="15.75" customHeight="1">
      <c r="A986" s="89"/>
    </row>
    <row r="987" ht="15.75" customHeight="1">
      <c r="A987" s="89"/>
    </row>
    <row r="988" ht="15.75" customHeight="1">
      <c r="A988" s="89"/>
    </row>
    <row r="989" ht="15.75" customHeight="1">
      <c r="A989" s="89"/>
    </row>
    <row r="990" ht="15.75" customHeight="1">
      <c r="A990" s="89"/>
    </row>
    <row r="991" ht="15.75" customHeight="1">
      <c r="A991" s="89"/>
    </row>
    <row r="992" ht="15.75" customHeight="1">
      <c r="A992" s="89"/>
    </row>
    <row r="993" ht="15.75" customHeight="1">
      <c r="A993" s="89"/>
    </row>
    <row r="994" ht="15.75" customHeight="1">
      <c r="A994" s="89"/>
    </row>
    <row r="995" ht="15.75" customHeight="1">
      <c r="A995" s="89"/>
    </row>
    <row r="996" ht="15.75" customHeight="1">
      <c r="A996" s="89"/>
    </row>
    <row r="997" ht="15.75" customHeight="1">
      <c r="A997" s="89"/>
    </row>
    <row r="998" ht="15.75" customHeight="1">
      <c r="A998" s="89"/>
    </row>
    <row r="999" ht="15.75" customHeight="1">
      <c r="A999" s="89"/>
    </row>
    <row r="1000" ht="15.75" customHeight="1">
      <c r="A1000" s="89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5.14"/>
    <col customWidth="1" min="2" max="2" width="67.43"/>
    <col customWidth="1" min="3" max="14" width="14.29"/>
    <col customWidth="1" min="15" max="15" width="14.86"/>
    <col customWidth="1" min="16" max="16" width="11.71"/>
    <col customWidth="1" min="17" max="29" width="8.71"/>
  </cols>
  <sheetData>
    <row r="1" ht="14.25" customHeight="1">
      <c r="A1" s="153" t="s">
        <v>274</v>
      </c>
      <c r="B1" s="154" t="s">
        <v>275</v>
      </c>
      <c r="C1" s="45" t="s">
        <v>276</v>
      </c>
      <c r="D1" s="45" t="s">
        <v>277</v>
      </c>
      <c r="E1" s="45" t="s">
        <v>278</v>
      </c>
      <c r="F1" s="45" t="s">
        <v>279</v>
      </c>
      <c r="G1" s="45" t="s">
        <v>280</v>
      </c>
      <c r="H1" s="45" t="s">
        <v>281</v>
      </c>
      <c r="I1" s="155" t="s">
        <v>282</v>
      </c>
      <c r="J1" s="155" t="s">
        <v>283</v>
      </c>
      <c r="K1" s="155" t="s">
        <v>284</v>
      </c>
      <c r="L1" s="155" t="s">
        <v>285</v>
      </c>
      <c r="M1" s="155" t="s">
        <v>286</v>
      </c>
      <c r="N1" s="155" t="s">
        <v>287</v>
      </c>
      <c r="O1" s="155" t="s">
        <v>288</v>
      </c>
    </row>
    <row r="2" ht="14.25" customHeight="1">
      <c r="A2" s="156" t="s">
        <v>289</v>
      </c>
      <c r="B2" s="157" t="s">
        <v>290</v>
      </c>
      <c r="C2" s="158">
        <f t="shared" ref="C2:O2" si="1">C3+C47</f>
        <v>406987.679</v>
      </c>
      <c r="D2" s="158">
        <f t="shared" si="1"/>
        <v>91362814.96</v>
      </c>
      <c r="E2" s="158">
        <f t="shared" si="1"/>
        <v>91394794.24</v>
      </c>
      <c r="F2" s="158">
        <f t="shared" si="1"/>
        <v>94272615.19</v>
      </c>
      <c r="G2" s="158">
        <f t="shared" si="1"/>
        <v>98870132.87</v>
      </c>
      <c r="H2" s="158">
        <f t="shared" si="1"/>
        <v>94237099.37</v>
      </c>
      <c r="I2" s="158">
        <f t="shared" si="1"/>
        <v>96571797.32</v>
      </c>
      <c r="J2" s="158">
        <f t="shared" si="1"/>
        <v>91897599.52</v>
      </c>
      <c r="K2" s="158">
        <f t="shared" si="1"/>
        <v>90356613</v>
      </c>
      <c r="L2" s="158">
        <f t="shared" si="1"/>
        <v>90356613</v>
      </c>
      <c r="M2" s="158">
        <f t="shared" si="1"/>
        <v>90356613</v>
      </c>
      <c r="N2" s="158">
        <f t="shared" si="1"/>
        <v>90356613</v>
      </c>
      <c r="O2" s="159">
        <f t="shared" si="1"/>
        <v>26517550.15</v>
      </c>
    </row>
    <row r="3" ht="14.25" customHeight="1">
      <c r="A3" s="160" t="s">
        <v>291</v>
      </c>
      <c r="B3" s="161" t="s">
        <v>292</v>
      </c>
      <c r="C3" s="162">
        <f>C4+C45+C46</f>
        <v>406967.299</v>
      </c>
      <c r="D3" s="162">
        <f t="shared" ref="D3:N3" si="2">D4+D45+D46+90356613</f>
        <v>91362796.55</v>
      </c>
      <c r="E3" s="162">
        <f t="shared" si="2"/>
        <v>91394773.86</v>
      </c>
      <c r="F3" s="162">
        <f t="shared" si="2"/>
        <v>94272595.46</v>
      </c>
      <c r="G3" s="162">
        <f t="shared" si="2"/>
        <v>98870112.49</v>
      </c>
      <c r="H3" s="162">
        <f t="shared" si="2"/>
        <v>94237079.64</v>
      </c>
      <c r="I3" s="162">
        <f t="shared" si="2"/>
        <v>96571776.94</v>
      </c>
      <c r="J3" s="162">
        <f t="shared" si="2"/>
        <v>91897579.13</v>
      </c>
      <c r="K3" s="162">
        <f t="shared" si="2"/>
        <v>90356613</v>
      </c>
      <c r="L3" s="162">
        <f t="shared" si="2"/>
        <v>90356613</v>
      </c>
      <c r="M3" s="162">
        <f t="shared" si="2"/>
        <v>90356613</v>
      </c>
      <c r="N3" s="162">
        <f t="shared" si="2"/>
        <v>90356613</v>
      </c>
      <c r="O3" s="163">
        <f>O4+O45+O46</f>
        <v>26517390.37</v>
      </c>
    </row>
    <row r="4" ht="14.25" customHeight="1">
      <c r="A4" s="164" t="s">
        <v>293</v>
      </c>
      <c r="B4" s="165" t="s">
        <v>294</v>
      </c>
      <c r="C4" s="166">
        <f>'січень'!$C$65</f>
        <v>80279.14</v>
      </c>
      <c r="D4" s="166">
        <f>'лютий'!C59</f>
        <v>246424.21</v>
      </c>
      <c r="E4" s="166">
        <f>'березень'!C65</f>
        <v>128907.28</v>
      </c>
      <c r="F4" s="166">
        <f>'квітень'!C65</f>
        <v>3269406.19</v>
      </c>
      <c r="G4" s="166">
        <f>'травень'!C66</f>
        <v>7840959.59</v>
      </c>
      <c r="H4" s="166">
        <f>'червень'!C66</f>
        <v>3182833.37</v>
      </c>
      <c r="I4" s="167">
        <f>'липень'!C66</f>
        <v>5744564.56</v>
      </c>
      <c r="J4" s="167">
        <f>'серпень'!C64</f>
        <v>569085.9</v>
      </c>
      <c r="K4" s="167">
        <f>'вересень'!C66</f>
        <v>0</v>
      </c>
      <c r="L4" s="167">
        <f>'жовтень'!C66</f>
        <v>0</v>
      </c>
      <c r="M4" s="167">
        <f>'листопад'!C66</f>
        <v>0</v>
      </c>
      <c r="N4" s="167">
        <f>'грудень'!C66</f>
        <v>0</v>
      </c>
      <c r="O4" s="168">
        <f t="shared" ref="O4:O47" si="3">SUBTOTAL(9,C4:N4)</f>
        <v>21062460.24</v>
      </c>
      <c r="P4" s="169"/>
    </row>
    <row r="5" ht="14.25" customHeight="1">
      <c r="A5" s="153"/>
      <c r="B5" s="28" t="s">
        <v>43</v>
      </c>
      <c r="C5" s="170">
        <f>'січень'!C33</f>
        <v>50140</v>
      </c>
      <c r="D5" s="171">
        <v>0.0</v>
      </c>
      <c r="E5" s="171">
        <f>SUMIF('лютий'!$B$3:$B$38,$B5,'лютий'!$C$3:$C$38)</f>
        <v>0</v>
      </c>
      <c r="F5" s="170">
        <f>'квітень'!C22</f>
        <v>78480</v>
      </c>
      <c r="G5" s="171">
        <f>SUMIF('лютий'!$B$3:$B$38,$B5,'лютий'!$C$3:$C$38)</f>
        <v>0</v>
      </c>
      <c r="H5" s="171">
        <f>SUMIF('лютий'!$B$3:$B$38,$B5,'лютий'!$C$3:$C$38)</f>
        <v>0</v>
      </c>
      <c r="I5" s="171">
        <f>SUMIF('лютий'!$B$3:$B$38,$B5,'лютий'!$C$3:$C$38)</f>
        <v>0</v>
      </c>
      <c r="J5" s="171">
        <f>SUMIF('лютий'!$B$3:$B$38,$B5,'лютий'!$C$3:$C$38)</f>
        <v>0</v>
      </c>
      <c r="K5" s="171">
        <v>0.0</v>
      </c>
      <c r="L5" s="171">
        <v>0.0</v>
      </c>
      <c r="M5" s="171">
        <v>0.0</v>
      </c>
      <c r="N5" s="171">
        <f>SUMIF('лютий'!$B$3:$B$38,$B5,'лютий'!$C$3:$C$38)</f>
        <v>0</v>
      </c>
      <c r="O5" s="172">
        <f t="shared" si="3"/>
        <v>128620</v>
      </c>
    </row>
    <row r="6" ht="14.25" customHeight="1">
      <c r="A6" s="153"/>
      <c r="B6" s="28" t="s">
        <v>44</v>
      </c>
      <c r="C6" s="171">
        <f>'січень'!C35+'січень'!C45</f>
        <v>2615.3</v>
      </c>
      <c r="D6" s="170">
        <v>0.0</v>
      </c>
      <c r="E6" s="171">
        <v>0.0</v>
      </c>
      <c r="F6" s="171">
        <v>0.0</v>
      </c>
      <c r="G6" s="171">
        <v>0.0</v>
      </c>
      <c r="H6" s="170">
        <v>0.0</v>
      </c>
      <c r="I6" s="171">
        <f>'липень'!C62+'липень'!C63+'липень'!C64</f>
        <v>15000</v>
      </c>
      <c r="J6" s="171">
        <f>'серпень'!C59+'серпень'!C60+'серпень'!C61</f>
        <v>0</v>
      </c>
      <c r="K6" s="171">
        <f>'вересень'!C61+'вересень'!C62+'вересень'!C63+'вересень'!C65</f>
        <v>0</v>
      </c>
      <c r="L6" s="171">
        <v>0.0</v>
      </c>
      <c r="M6" s="171">
        <f>'листопад'!C5+'листопад'!C6+'листопад'!C7</f>
        <v>0</v>
      </c>
      <c r="N6" s="171">
        <f>'грудень'!C63+'грудень'!C7</f>
        <v>0</v>
      </c>
      <c r="O6" s="172">
        <f t="shared" si="3"/>
        <v>17615.3</v>
      </c>
    </row>
    <row r="7" ht="14.25" customHeight="1">
      <c r="A7" s="153"/>
      <c r="B7" s="28" t="s">
        <v>48</v>
      </c>
      <c r="C7" s="171">
        <v>0.0</v>
      </c>
      <c r="D7" s="170">
        <v>8119.94</v>
      </c>
      <c r="E7" s="170">
        <f>'березень'!C7+'березень'!C43</f>
        <v>25757.28</v>
      </c>
      <c r="F7" s="170">
        <f>'квітень'!C43</f>
        <v>5895.13</v>
      </c>
      <c r="G7" s="170">
        <f>'травень'!C48</f>
        <v>9506.8</v>
      </c>
      <c r="H7" s="170">
        <v>0.0</v>
      </c>
      <c r="I7" s="170">
        <v>0.0</v>
      </c>
      <c r="J7" s="170">
        <v>0.0</v>
      </c>
      <c r="K7" s="170">
        <v>0.0</v>
      </c>
      <c r="L7" s="171">
        <v>0.0</v>
      </c>
      <c r="M7" s="170">
        <v>0.0</v>
      </c>
      <c r="N7" s="170">
        <v>0.0</v>
      </c>
      <c r="O7" s="172">
        <f t="shared" si="3"/>
        <v>49279.15</v>
      </c>
    </row>
    <row r="8" ht="14.25" customHeight="1">
      <c r="A8" s="153"/>
      <c r="B8" s="28" t="s">
        <v>295</v>
      </c>
      <c r="C8" s="171">
        <v>0.0</v>
      </c>
      <c r="D8" s="170">
        <v>126746.83</v>
      </c>
      <c r="E8" s="171">
        <f>SUMIF('лютий'!$B$3:$B$38,$B8,'лютий'!$C$3:$C$38)</f>
        <v>0</v>
      </c>
      <c r="F8" s="171">
        <f>'квітень'!C48</f>
        <v>133185.34</v>
      </c>
      <c r="G8" s="171">
        <f>SUMIF('лютий'!$B$3:$B$38,$B8,'лютий'!$C$3:$C$38)</f>
        <v>0</v>
      </c>
      <c r="H8" s="171">
        <f>SUMIF('лютий'!$B$3:$B$38,$B8,'лютий'!$C$3:$C$38)</f>
        <v>0</v>
      </c>
      <c r="I8" s="170">
        <v>0.0</v>
      </c>
      <c r="J8" s="171">
        <f>SUMIF('лютий'!$B$3:$B$38,$B8,'лютий'!$C$3:$C$38)</f>
        <v>0</v>
      </c>
      <c r="K8" s="171">
        <f>SUMIF('лютий'!$B$3:$B$38,$B8,'лютий'!$C$3:$C$38)</f>
        <v>0</v>
      </c>
      <c r="L8" s="171">
        <f>SUMIF('лютий'!$B$3:$B$38,$B8,'лютий'!$C$3:$C$38)</f>
        <v>0</v>
      </c>
      <c r="M8" s="171">
        <f>SUMIF('лютий'!$B$3:$B$38,$B8,'лютий'!$C$3:$C$38)</f>
        <v>0</v>
      </c>
      <c r="N8" s="171">
        <f>SUMIF('лютий'!$B$3:$B$38,$B8,'лютий'!$C$3:$C$38)</f>
        <v>0</v>
      </c>
      <c r="O8" s="172">
        <f t="shared" si="3"/>
        <v>259932.17</v>
      </c>
    </row>
    <row r="9" ht="14.25" customHeight="1">
      <c r="A9" s="153"/>
      <c r="B9" s="28" t="s">
        <v>52</v>
      </c>
      <c r="C9" s="171">
        <v>0.0</v>
      </c>
      <c r="D9" s="170">
        <f>'лютий'!C25+'лютий'!C35</f>
        <v>5892</v>
      </c>
      <c r="E9" s="170">
        <v>0.0</v>
      </c>
      <c r="F9" s="170">
        <f>'квітень'!C20+'квітень'!C30</f>
        <v>2219.32</v>
      </c>
      <c r="G9" s="170">
        <f>'травень'!C13+'травень'!C35</f>
        <v>687.4</v>
      </c>
      <c r="H9" s="170">
        <v>0.0</v>
      </c>
      <c r="I9" s="170">
        <v>0.0</v>
      </c>
      <c r="J9" s="170">
        <v>0.0</v>
      </c>
      <c r="K9" s="170">
        <v>0.0</v>
      </c>
      <c r="L9" s="170">
        <v>0.0</v>
      </c>
      <c r="M9" s="170">
        <v>0.0</v>
      </c>
      <c r="N9" s="171">
        <v>0.0</v>
      </c>
      <c r="O9" s="172">
        <f t="shared" si="3"/>
        <v>8798.72</v>
      </c>
    </row>
    <row r="10" ht="14.25" customHeight="1">
      <c r="A10" s="153"/>
      <c r="B10" s="28" t="s">
        <v>296</v>
      </c>
      <c r="C10" s="171">
        <v>0.0</v>
      </c>
      <c r="D10" s="170">
        <v>1262.0</v>
      </c>
      <c r="E10" s="171">
        <f>SUMIF('лютий'!$B$3:$B$38,$B10,'лютий'!$C$3:$C$38)</f>
        <v>0</v>
      </c>
      <c r="F10" s="170">
        <v>0.0</v>
      </c>
      <c r="G10" s="171">
        <f>SUMIF('лютий'!$B$3:$B$38,$B10,'лютий'!$C$3:$C$38)</f>
        <v>0</v>
      </c>
      <c r="H10" s="171">
        <f>SUMIF('лютий'!$B$3:$B$38,$B10,'лютий'!$C$3:$C$38)</f>
        <v>0</v>
      </c>
      <c r="I10" s="171">
        <f>'липень'!C34+'липень'!C42</f>
        <v>10000</v>
      </c>
      <c r="J10" s="171">
        <f>SUMIF('лютий'!$B$3:$B$38,$B10,'лютий'!$C$3:$C$38)</f>
        <v>0</v>
      </c>
      <c r="K10" s="171">
        <f>SUMIF('лютий'!$B$3:$B$38,$B10,'лютий'!$C$3:$C$38)</f>
        <v>0</v>
      </c>
      <c r="L10" s="171">
        <f>SUMIF('лютий'!$B$3:$B$38,$B10,'лютий'!$C$3:$C$38)</f>
        <v>0</v>
      </c>
      <c r="M10" s="171">
        <f>SUMIF('лютий'!$B$3:$B$38,$B10,'лютий'!$C$3:$C$38)</f>
        <v>0</v>
      </c>
      <c r="N10" s="170">
        <v>0.0</v>
      </c>
      <c r="O10" s="172">
        <f t="shared" si="3"/>
        <v>11262</v>
      </c>
    </row>
    <row r="11" ht="14.25" customHeight="1">
      <c r="A11" s="153"/>
      <c r="B11" s="28" t="s">
        <v>44</v>
      </c>
      <c r="C11" s="170">
        <v>0.0</v>
      </c>
      <c r="D11" s="170">
        <v>2615.44</v>
      </c>
      <c r="E11" s="170">
        <v>0.0</v>
      </c>
      <c r="F11" s="170">
        <v>0.0</v>
      </c>
      <c r="G11" s="170">
        <f>'травень'!C34</f>
        <v>3246.82</v>
      </c>
      <c r="H11" s="170">
        <v>0.0</v>
      </c>
      <c r="I11" s="170">
        <v>0.0</v>
      </c>
      <c r="J11" s="170">
        <v>0.0</v>
      </c>
      <c r="K11" s="170">
        <v>0.0</v>
      </c>
      <c r="L11" s="170">
        <v>0.0</v>
      </c>
      <c r="M11" s="170">
        <v>0.0</v>
      </c>
      <c r="N11" s="170">
        <v>0.0</v>
      </c>
      <c r="O11" s="172">
        <f t="shared" si="3"/>
        <v>5862.26</v>
      </c>
    </row>
    <row r="12" ht="14.25" customHeight="1">
      <c r="A12" s="153"/>
      <c r="B12" s="173" t="s">
        <v>62</v>
      </c>
      <c r="C12" s="170">
        <v>0.0</v>
      </c>
      <c r="D12" s="170">
        <v>36788.0</v>
      </c>
      <c r="E12" s="171">
        <v>0.0</v>
      </c>
      <c r="F12" s="171">
        <v>0.0</v>
      </c>
      <c r="G12" s="171">
        <v>0.0</v>
      </c>
      <c r="H12" s="171">
        <v>0.0</v>
      </c>
      <c r="I12" s="171">
        <v>0.0</v>
      </c>
      <c r="J12" s="171">
        <v>0.0</v>
      </c>
      <c r="K12" s="171">
        <v>0.0</v>
      </c>
      <c r="L12" s="171">
        <v>0.0</v>
      </c>
      <c r="M12" s="171">
        <v>0.0</v>
      </c>
      <c r="N12" s="171">
        <v>0.0</v>
      </c>
      <c r="O12" s="172">
        <f t="shared" si="3"/>
        <v>36788</v>
      </c>
    </row>
    <row r="13" ht="14.25" customHeight="1">
      <c r="A13" s="153"/>
      <c r="B13" s="173" t="s">
        <v>63</v>
      </c>
      <c r="C13" s="170">
        <v>0.0</v>
      </c>
      <c r="D13" s="170">
        <v>50000.0</v>
      </c>
      <c r="E13" s="170">
        <v>50000.0</v>
      </c>
      <c r="F13" s="171">
        <v>0.0</v>
      </c>
      <c r="G13" s="171">
        <f>'травень'!C26</f>
        <v>50000</v>
      </c>
      <c r="H13" s="171">
        <f>50000</f>
        <v>50000</v>
      </c>
      <c r="I13" s="171">
        <v>0.0</v>
      </c>
      <c r="J13" s="171">
        <v>0.0</v>
      </c>
      <c r="K13" s="171">
        <v>0.0</v>
      </c>
      <c r="L13" s="171">
        <v>0.0</v>
      </c>
      <c r="M13" s="171">
        <v>0.0</v>
      </c>
      <c r="N13" s="171">
        <v>0.0</v>
      </c>
      <c r="O13" s="172">
        <f t="shared" si="3"/>
        <v>200000</v>
      </c>
    </row>
    <row r="14" ht="14.25" customHeight="1">
      <c r="A14" s="153"/>
      <c r="B14" s="28" t="s">
        <v>64</v>
      </c>
      <c r="C14" s="171">
        <v>0.0</v>
      </c>
      <c r="D14" s="170">
        <v>15000.0</v>
      </c>
      <c r="E14" s="170">
        <v>15000.0</v>
      </c>
      <c r="F14" s="171">
        <f>'квітень'!C62</f>
        <v>15000</v>
      </c>
      <c r="G14" s="171">
        <f>'травень'!C63</f>
        <v>15000</v>
      </c>
      <c r="H14" s="171">
        <f>15000</f>
        <v>15000</v>
      </c>
      <c r="I14" s="170">
        <v>0.0</v>
      </c>
      <c r="J14" s="171">
        <v>0.0</v>
      </c>
      <c r="K14" s="171">
        <v>0.0</v>
      </c>
      <c r="L14" s="171">
        <v>0.0</v>
      </c>
      <c r="M14" s="171">
        <v>0.0</v>
      </c>
      <c r="N14" s="171">
        <v>0.0</v>
      </c>
      <c r="O14" s="172">
        <f t="shared" si="3"/>
        <v>75000</v>
      </c>
    </row>
    <row r="15" ht="14.25" customHeight="1">
      <c r="A15" s="153"/>
      <c r="B15" s="28" t="s">
        <v>86</v>
      </c>
      <c r="C15" s="171">
        <v>0.0</v>
      </c>
      <c r="D15" s="171">
        <v>0.0</v>
      </c>
      <c r="E15" s="170">
        <v>38150.0</v>
      </c>
      <c r="F15" s="171">
        <v>0.0</v>
      </c>
      <c r="G15" s="171">
        <v>0.0</v>
      </c>
      <c r="H15" s="171">
        <v>0.0</v>
      </c>
      <c r="I15" s="171">
        <v>0.0</v>
      </c>
      <c r="J15" s="171">
        <v>0.0</v>
      </c>
      <c r="K15" s="171">
        <v>0.0</v>
      </c>
      <c r="L15" s="171">
        <v>0.0</v>
      </c>
      <c r="M15" s="171">
        <v>0.0</v>
      </c>
      <c r="N15" s="171">
        <v>0.0</v>
      </c>
      <c r="O15" s="172">
        <f t="shared" si="3"/>
        <v>38150</v>
      </c>
    </row>
    <row r="16" ht="14.25" customHeight="1">
      <c r="A16" s="153"/>
      <c r="B16" s="173" t="s">
        <v>45</v>
      </c>
      <c r="C16" s="171">
        <v>0.0</v>
      </c>
      <c r="D16" s="171">
        <v>0.0</v>
      </c>
      <c r="E16" s="171">
        <v>0.0</v>
      </c>
      <c r="F16" s="171">
        <f>'квітень'!C18</f>
        <v>3056.4</v>
      </c>
      <c r="G16" s="170">
        <f>'травень'!C5+'травень'!C6</f>
        <v>13679.47</v>
      </c>
      <c r="H16" s="171">
        <f>'червень'!C60+'червень'!C61</f>
        <v>14279.92</v>
      </c>
      <c r="I16" s="171">
        <v>0.0</v>
      </c>
      <c r="J16" s="171">
        <v>0.0</v>
      </c>
      <c r="K16" s="171">
        <v>0.0</v>
      </c>
      <c r="L16" s="171">
        <v>0.0</v>
      </c>
      <c r="M16" s="171">
        <v>0.0</v>
      </c>
      <c r="N16" s="171">
        <v>0.0</v>
      </c>
      <c r="O16" s="172">
        <f t="shared" si="3"/>
        <v>31015.79</v>
      </c>
    </row>
    <row r="17" ht="14.25" customHeight="1">
      <c r="A17" s="153"/>
      <c r="B17" s="28" t="s">
        <v>103</v>
      </c>
      <c r="C17" s="171">
        <v>0.0</v>
      </c>
      <c r="D17" s="171">
        <v>0.0</v>
      </c>
      <c r="E17" s="171">
        <v>0.0</v>
      </c>
      <c r="F17" s="171">
        <f>'квітень'!C37</f>
        <v>31570</v>
      </c>
      <c r="G17" s="171">
        <v>0.0</v>
      </c>
      <c r="H17" s="171">
        <v>0.0</v>
      </c>
      <c r="I17" s="171">
        <v>0.0</v>
      </c>
      <c r="J17" s="171">
        <v>0.0</v>
      </c>
      <c r="K17" s="170">
        <v>0.0</v>
      </c>
      <c r="L17" s="171">
        <v>0.0</v>
      </c>
      <c r="M17" s="171">
        <v>0.0</v>
      </c>
      <c r="N17" s="171">
        <v>0.0</v>
      </c>
      <c r="O17" s="172">
        <f t="shared" si="3"/>
        <v>31570</v>
      </c>
    </row>
    <row r="18" ht="14.25" customHeight="1">
      <c r="A18" s="153"/>
      <c r="B18" s="28" t="s">
        <v>109</v>
      </c>
      <c r="C18" s="171">
        <v>0.0</v>
      </c>
      <c r="D18" s="171">
        <v>0.0</v>
      </c>
      <c r="E18" s="171">
        <v>0.0</v>
      </c>
      <c r="F18" s="171">
        <f>'квітень'!C58</f>
        <v>2850000</v>
      </c>
      <c r="G18" s="171">
        <v>0.0</v>
      </c>
      <c r="H18" s="171">
        <v>0.0</v>
      </c>
      <c r="I18" s="171">
        <v>0.0</v>
      </c>
      <c r="J18" s="170">
        <v>0.0</v>
      </c>
      <c r="K18" s="170">
        <v>0.0</v>
      </c>
      <c r="L18" s="170">
        <v>0.0</v>
      </c>
      <c r="M18" s="171">
        <v>0.0</v>
      </c>
      <c r="N18" s="170">
        <v>0.0</v>
      </c>
      <c r="O18" s="172">
        <f t="shared" si="3"/>
        <v>2850000</v>
      </c>
    </row>
    <row r="19" ht="14.25" customHeight="1">
      <c r="A19" s="153"/>
      <c r="B19" s="28" t="s">
        <v>110</v>
      </c>
      <c r="C19" s="171">
        <v>0.0</v>
      </c>
      <c r="D19" s="171">
        <v>0.0</v>
      </c>
      <c r="E19" s="171">
        <v>0.0</v>
      </c>
      <c r="F19" s="171">
        <f>'квітень'!C59</f>
        <v>150000</v>
      </c>
      <c r="G19" s="171">
        <f>'травень'!C24</f>
        <v>122000</v>
      </c>
      <c r="H19" s="171">
        <f>123000</f>
        <v>123000</v>
      </c>
      <c r="I19" s="171">
        <v>0.0</v>
      </c>
      <c r="J19" s="170">
        <v>0.0</v>
      </c>
      <c r="K19" s="171">
        <v>0.0</v>
      </c>
      <c r="L19" s="171">
        <v>0.0</v>
      </c>
      <c r="M19" s="171">
        <v>0.0</v>
      </c>
      <c r="N19" s="171">
        <v>0.0</v>
      </c>
      <c r="O19" s="172">
        <f t="shared" si="3"/>
        <v>395000</v>
      </c>
    </row>
    <row r="20" ht="14.25" customHeight="1">
      <c r="A20" s="153"/>
      <c r="B20" s="28" t="s">
        <v>115</v>
      </c>
      <c r="C20" s="170">
        <v>0.0</v>
      </c>
      <c r="D20" s="171">
        <v>0.0</v>
      </c>
      <c r="E20" s="171">
        <f>SUMIF('лютий'!$B$3:$B$38,$B20,'лютий'!$C$3:$C$38)</f>
        <v>0</v>
      </c>
      <c r="F20" s="171">
        <v>0.0</v>
      </c>
      <c r="G20" s="170">
        <f>'травень'!C4</f>
        <v>100000</v>
      </c>
      <c r="H20" s="170">
        <v>0.0</v>
      </c>
      <c r="I20" s="171">
        <v>0.0</v>
      </c>
      <c r="J20" s="171">
        <v>0.0</v>
      </c>
      <c r="K20" s="171">
        <v>0.0</v>
      </c>
      <c r="L20" s="171">
        <v>0.0</v>
      </c>
      <c r="M20" s="171">
        <f>'листопад'!C24+'листопад'!C26</f>
        <v>0</v>
      </c>
      <c r="N20" s="171">
        <f>'грудень'!C12+'грудень'!C14+'грудень'!C20</f>
        <v>0</v>
      </c>
      <c r="O20" s="172">
        <f t="shared" si="3"/>
        <v>100000</v>
      </c>
    </row>
    <row r="21" ht="14.25" customHeight="1">
      <c r="A21" s="153"/>
      <c r="B21" s="28" t="s">
        <v>121</v>
      </c>
      <c r="C21" s="170">
        <v>0.0</v>
      </c>
      <c r="D21" s="170">
        <v>0.0</v>
      </c>
      <c r="E21" s="170">
        <v>0.0</v>
      </c>
      <c r="F21" s="170">
        <v>0.0</v>
      </c>
      <c r="G21" s="171">
        <f>'травень'!C20</f>
        <v>4211328</v>
      </c>
      <c r="H21" s="170">
        <v>0.0</v>
      </c>
      <c r="I21" s="171">
        <f>SUMIF('лютий'!$B$3:$B$38,$B21,'лютий'!$C$3:$C$38)</f>
        <v>0</v>
      </c>
      <c r="J21" s="171">
        <f>SUMIF('лютий'!$B$3:$B$38,$B21,'лютий'!$C$3:$C$38)</f>
        <v>0</v>
      </c>
      <c r="K21" s="170">
        <v>0.0</v>
      </c>
      <c r="L21" s="170">
        <v>0.0</v>
      </c>
      <c r="M21" s="171">
        <f>SUMIF('лютий'!$B$3:$B$38,$B21,'лютий'!$C$3:$C$38)</f>
        <v>0</v>
      </c>
      <c r="N21" s="171">
        <v>0.0</v>
      </c>
      <c r="O21" s="172">
        <f t="shared" si="3"/>
        <v>4211328</v>
      </c>
    </row>
    <row r="22" ht="14.25" customHeight="1">
      <c r="A22" s="153"/>
      <c r="B22" s="28" t="s">
        <v>128</v>
      </c>
      <c r="C22" s="171">
        <f>SUMIF('січень'!$B$4:$B$40,$B22,'січень'!$C$3:$C$40)</f>
        <v>0</v>
      </c>
      <c r="D22" s="171">
        <f>SUMIF('лютий'!$B$3:$B$38,$B22,'лютий'!$C$3:$C$38)</f>
        <v>0</v>
      </c>
      <c r="E22" s="171">
        <f>SUMIF('лютий'!$B$3:$B$38,$B22,'лютий'!$C$3:$C$38)</f>
        <v>0</v>
      </c>
      <c r="F22" s="171">
        <f>SUMIF('лютий'!$B$3:$B$38,$B22,'лютий'!$C$3:$C$38)</f>
        <v>0</v>
      </c>
      <c r="G22" s="171">
        <f>'травень'!C31</f>
        <v>560000</v>
      </c>
      <c r="H22" s="171">
        <f>SUMIF('лютий'!$B$3:$B$38,$B22,'лютий'!$C$3:$C$38)</f>
        <v>0</v>
      </c>
      <c r="I22" s="171">
        <f>SUMIF('лютий'!$B$3:$B$38,$B22,'лютий'!$C$3:$C$38)</f>
        <v>0</v>
      </c>
      <c r="J22" s="171">
        <f>SUMIF('лютий'!$B$3:$B$38,$B22,'лютий'!$C$3:$C$38)</f>
        <v>0</v>
      </c>
      <c r="K22" s="171">
        <f>SUMIF('лютий'!$B$3:$B$38,$B22,'лютий'!$C$3:$C$38)</f>
        <v>0</v>
      </c>
      <c r="L22" s="171">
        <f>SUMIF('лютий'!$B$3:$B$38,$B22,'лютий'!$C$3:$C$38)</f>
        <v>0</v>
      </c>
      <c r="M22" s="171">
        <f>SUMIF('лютий'!$B$3:$B$38,$B22,'лютий'!$C$3:$C$38)</f>
        <v>0</v>
      </c>
      <c r="N22" s="171">
        <f>SUMIF('лютий'!$B$3:$B$38,$B22,'лютий'!$C$3:$C$38)</f>
        <v>0</v>
      </c>
      <c r="O22" s="172">
        <f t="shared" si="3"/>
        <v>560000</v>
      </c>
    </row>
    <row r="23" ht="14.25" customHeight="1">
      <c r="A23" s="153"/>
      <c r="B23" s="28" t="s">
        <v>130</v>
      </c>
      <c r="C23" s="171">
        <f>SUMIF('січень'!$B$4:$B$40,$B23,'січень'!$C$3:$C$40)</f>
        <v>0</v>
      </c>
      <c r="D23" s="171">
        <f>SUMIF('лютий'!$B$3:$B$38,$B23,'лютий'!$C$3:$C$38)</f>
        <v>0</v>
      </c>
      <c r="E23" s="171">
        <f>SUMIF('лютий'!$B$3:$B$38,$B23,'лютий'!$C$3:$C$38)</f>
        <v>0</v>
      </c>
      <c r="F23" s="171">
        <f>SUMIF('лютий'!$B$3:$B$38,$B23,'лютий'!$C$3:$C$38)</f>
        <v>0</v>
      </c>
      <c r="G23" s="171">
        <f>'травень'!C32</f>
        <v>2250161.1</v>
      </c>
      <c r="H23" s="171">
        <f>SUMIF('лютий'!$B$3:$B$38,$B23,'лютий'!$C$3:$C$38)</f>
        <v>0</v>
      </c>
      <c r="I23" s="171">
        <f>SUMIF('лютий'!$B$3:$B$38,$B23,'лютий'!$C$3:$C$38)</f>
        <v>0</v>
      </c>
      <c r="J23" s="171">
        <f>SUMIF('лютий'!$B$3:$B$38,$B23,'лютий'!$C$3:$C$38)</f>
        <v>0</v>
      </c>
      <c r="K23" s="171">
        <f>SUMIF('лютий'!$B$3:$B$38,$B23,'лютий'!$C$3:$C$38)</f>
        <v>0</v>
      </c>
      <c r="L23" s="171">
        <f>SUMIF('лютий'!$B$3:$B$38,$B23,'лютий'!$C$3:$C$38)</f>
        <v>0</v>
      </c>
      <c r="M23" s="171">
        <f>SUMIF('лютий'!$B$3:$B$38,$B23,'лютий'!$C$3:$C$38)</f>
        <v>0</v>
      </c>
      <c r="N23" s="171">
        <f>SUMIF('лютий'!$B$3:$B$38,$B23,'лютий'!$C$3:$C$38)</f>
        <v>0</v>
      </c>
      <c r="O23" s="172">
        <f t="shared" si="3"/>
        <v>2250161.1</v>
      </c>
    </row>
    <row r="24" ht="14.25" customHeight="1">
      <c r="A24" s="153"/>
      <c r="B24" s="28" t="s">
        <v>131</v>
      </c>
      <c r="C24" s="171">
        <f>SUMIF('січень'!$B$4:$B$40,$B24,'січень'!$C$3:$C$40)</f>
        <v>0</v>
      </c>
      <c r="D24" s="171">
        <f>SUMIF('лютий'!$B$3:$B$38,$B24,'лютий'!$C$3:$C$38)</f>
        <v>0</v>
      </c>
      <c r="E24" s="171">
        <f>SUMIF('лютий'!$B$3:$B$38,$B24,'лютий'!$C$3:$C$38)</f>
        <v>0</v>
      </c>
      <c r="F24" s="171">
        <f>SUMIF('лютий'!$B$3:$B$38,$B24,'лютий'!$C$3:$C$38)</f>
        <v>0</v>
      </c>
      <c r="G24" s="171">
        <f>'травень'!C33</f>
        <v>47380</v>
      </c>
      <c r="H24" s="171">
        <f>SUMIF('лютий'!$B$3:$B$38,$B24,'лютий'!$C$3:$C$38)</f>
        <v>0</v>
      </c>
      <c r="I24" s="171">
        <f>SUMIF('лютий'!$B$3:$B$38,$B24,'лютий'!$C$3:$C$38)</f>
        <v>0</v>
      </c>
      <c r="J24" s="171">
        <f>SUMIF('лютий'!$B$3:$B$38,$B24,'лютий'!$C$3:$C$38)</f>
        <v>0</v>
      </c>
      <c r="K24" s="171">
        <f>SUMIF('лютий'!$B$3:$B$38,$B24,'лютий'!$C$3:$C$38)</f>
        <v>0</v>
      </c>
      <c r="L24" s="171">
        <v>0.0</v>
      </c>
      <c r="M24" s="171">
        <f>SUMIF('лютий'!$B$3:$B$38,$B24,'лютий'!$C$3:$C$38)</f>
        <v>0</v>
      </c>
      <c r="N24" s="171">
        <f>SUMIF('лютий'!$B$3:$B$38,$B24,'лютий'!$C$3:$C$38)</f>
        <v>0</v>
      </c>
      <c r="O24" s="172">
        <f t="shared" si="3"/>
        <v>47380</v>
      </c>
    </row>
    <row r="25" ht="14.25" customHeight="1">
      <c r="A25" s="153"/>
      <c r="B25" s="28" t="s">
        <v>138</v>
      </c>
      <c r="C25" s="171">
        <f>SUMIF('січень'!$B$4:$B$40,$B25,'січень'!$C$3:$C$40)</f>
        <v>0</v>
      </c>
      <c r="D25" s="171">
        <f>SUMIF('лютий'!$B$3:$B$38,$B25,'лютий'!$C$3:$C$38)</f>
        <v>0</v>
      </c>
      <c r="E25" s="171">
        <f>SUMIF('лютий'!$B$3:$B$38,$B25,'лютий'!$C$3:$C$38)</f>
        <v>0</v>
      </c>
      <c r="F25" s="171">
        <f>SUMIF('лютий'!$B$3:$B$38,$B25,'лютий'!$C$3:$C$38)</f>
        <v>0</v>
      </c>
      <c r="G25" s="171">
        <f>'травень'!C49</f>
        <v>392790</v>
      </c>
      <c r="H25" s="171">
        <v>0.0</v>
      </c>
      <c r="I25" s="171">
        <f>SUMIF('лютий'!$B$3:$B$38,$B25,'лютий'!$C$3:$C$38)</f>
        <v>0</v>
      </c>
      <c r="J25" s="171">
        <f>SUMIF('лютий'!$B$3:$B$38,$B25,'лютий'!$C$3:$C$38)</f>
        <v>0</v>
      </c>
      <c r="K25" s="171">
        <f>SUMIF('лютий'!$B$3:$B$38,$B25,'лютий'!$C$3:$C$38)</f>
        <v>0</v>
      </c>
      <c r="L25" s="171">
        <f>SUMIF('лютий'!$B$3:$B$38,$B25,'лютий'!$C$3:$C$38)</f>
        <v>0</v>
      </c>
      <c r="M25" s="171">
        <f>SUMIF('лютий'!$B$3:$B$38,$B25,'лютий'!$C$3:$C$38)</f>
        <v>0</v>
      </c>
      <c r="N25" s="170">
        <v>0.0</v>
      </c>
      <c r="O25" s="172">
        <f t="shared" si="3"/>
        <v>392790</v>
      </c>
    </row>
    <row r="26" ht="14.25" customHeight="1">
      <c r="A26" s="153"/>
      <c r="B26" s="28" t="s">
        <v>139</v>
      </c>
      <c r="C26" s="171">
        <f>SUMIF('січень'!$B$4:$B$40,$B26,'січень'!$C$3:$C$40)</f>
        <v>0</v>
      </c>
      <c r="D26" s="171">
        <f>SUMIF('лютий'!$B$3:$B$38,$B26,'лютий'!$C$3:$C$38)</f>
        <v>0</v>
      </c>
      <c r="E26" s="171">
        <f>SUMIF('лютий'!$B$3:$B$38,$B26,'лютий'!$C$3:$C$38)</f>
        <v>0</v>
      </c>
      <c r="F26" s="171">
        <f>SUMIF('лютий'!$B$3:$B$38,$B26,'лютий'!$C$3:$C$38)</f>
        <v>0</v>
      </c>
      <c r="G26" s="170">
        <v>10000.0</v>
      </c>
      <c r="H26" s="171">
        <v>0.0</v>
      </c>
      <c r="I26" s="171">
        <f>SUMIF('лютий'!$B$3:$B$38,$B26,'лютий'!$C$3:$C$38)</f>
        <v>0</v>
      </c>
      <c r="J26" s="171">
        <f>SUMIF('лютий'!$B$3:$B$38,$B26,'лютий'!$C$3:$C$38)</f>
        <v>0</v>
      </c>
      <c r="K26" s="171">
        <f>SUMIF('лютий'!$B$3:$B$38,$B26,'лютий'!$C$3:$C$38)</f>
        <v>0</v>
      </c>
      <c r="L26" s="171">
        <f>SUMIF('лютий'!$B$3:$B$38,$B26,'лютий'!$C$3:$C$38)</f>
        <v>0</v>
      </c>
      <c r="M26" s="171">
        <f>SUMIF('лютий'!$B$3:$B$38,$B26,'лютий'!$C$3:$C$38)</f>
        <v>0</v>
      </c>
      <c r="N26" s="171">
        <f>SUMIF('лютий'!$B$3:$B$38,$B26,'лютий'!$C$3:$C$38)</f>
        <v>0</v>
      </c>
      <c r="O26" s="172">
        <f t="shared" si="3"/>
        <v>10000</v>
      </c>
    </row>
    <row r="27" ht="14.25" customHeight="1">
      <c r="A27" s="153"/>
      <c r="B27" s="28" t="s">
        <v>140</v>
      </c>
      <c r="C27" s="171">
        <f>SUMIF('січень'!$B$4:$B$40,$B27,'січень'!$C$3:$C$40)</f>
        <v>0</v>
      </c>
      <c r="D27" s="171">
        <f>SUMIF('лютий'!$B$3:$B$38,$B27,'лютий'!$C$3:$C$38)</f>
        <v>0</v>
      </c>
      <c r="E27" s="171">
        <f>SUMIF('лютий'!$B$3:$B$38,$B27,'лютий'!$C$3:$C$38)</f>
        <v>0</v>
      </c>
      <c r="F27" s="171">
        <f>SUMIF('лютий'!$B$3:$B$38,$B27,'лютий'!$C$3:$C$38)</f>
        <v>0</v>
      </c>
      <c r="G27" s="171">
        <f>'травень'!C62</f>
        <v>55180</v>
      </c>
      <c r="H27" s="171">
        <v>0.0</v>
      </c>
      <c r="I27" s="171">
        <f>SUMIF('лютий'!$B$3:$B$38,$B27,'лютий'!$C$3:$C$38)</f>
        <v>0</v>
      </c>
      <c r="J27" s="171">
        <f>SUMIF('лютий'!$B$3:$B$38,$B27,'лютий'!$C$3:$C$38)</f>
        <v>0</v>
      </c>
      <c r="K27" s="171">
        <f>SUMIF('лютий'!$B$3:$B$38,$B27,'лютий'!$C$3:$C$38)</f>
        <v>0</v>
      </c>
      <c r="L27" s="171">
        <f>SUMIF('лютий'!$B$3:$B$38,$B27,'лютий'!$C$3:$C$38)</f>
        <v>0</v>
      </c>
      <c r="M27" s="171">
        <f>SUMIF('лютий'!$B$3:$B$38,$B27,'лютий'!$C$3:$C$38)</f>
        <v>0</v>
      </c>
      <c r="N27" s="171">
        <f>SUMIF('лютий'!$B$3:$B$38,$B27,'лютий'!$C$3:$C$38)</f>
        <v>0</v>
      </c>
      <c r="O27" s="172">
        <f t="shared" si="3"/>
        <v>55180</v>
      </c>
    </row>
    <row r="28" ht="14.25" customHeight="1">
      <c r="A28" s="153"/>
      <c r="B28" s="28" t="s">
        <v>145</v>
      </c>
      <c r="C28" s="171">
        <f>SUMIF('січень'!$B$4:$B$40,$B28,'січень'!$C$3:$C$40)</f>
        <v>0</v>
      </c>
      <c r="D28" s="171">
        <f>SUMIF('лютий'!$B$3:$B$38,$B28,'лютий'!$C$3:$C$38)</f>
        <v>0</v>
      </c>
      <c r="E28" s="171">
        <f>SUMIF('лютий'!$B$3:$B$38,$B28,'лютий'!$C$3:$C$38)</f>
        <v>0</v>
      </c>
      <c r="F28" s="171">
        <f>SUMIF('лютий'!$B$3:$B$38,$B28,'лютий'!$C$3:$C$38)</f>
        <v>0</v>
      </c>
      <c r="G28" s="171">
        <f>SUMIF('лютий'!$B$3:$B$38,$B28,'лютий'!$C$3:$C$38)</f>
        <v>0</v>
      </c>
      <c r="H28" s="171">
        <f>'червень'!C6+'червень'!C7</f>
        <v>22579.72</v>
      </c>
      <c r="I28" s="171">
        <f>SUMIF('лютий'!$B$3:$B$38,$B28,'лютий'!$C$3:$C$38)</f>
        <v>0</v>
      </c>
      <c r="J28" s="171">
        <f>SUMIF('лютий'!$B$3:$B$38,$B28,'лютий'!$C$3:$C$38)</f>
        <v>0</v>
      </c>
      <c r="K28" s="171">
        <f>SUMIF('лютий'!$B$3:$B$38,$B28,'лютий'!$C$3:$C$38)</f>
        <v>0</v>
      </c>
      <c r="L28" s="171">
        <f>SUMIF('лютий'!$B$3:$B$38,$B28,'лютий'!$C$3:$C$38)</f>
        <v>0</v>
      </c>
      <c r="M28" s="171">
        <f>SUMIF('лютий'!$B$3:$B$38,$B28,'лютий'!$C$3:$C$38)</f>
        <v>0</v>
      </c>
      <c r="N28" s="171">
        <f>SUMIF('лютий'!$B$3:$B$38,$B28,'лютий'!$C$3:$C$38)</f>
        <v>0</v>
      </c>
      <c r="O28" s="172">
        <f t="shared" si="3"/>
        <v>22579.72</v>
      </c>
    </row>
    <row r="29" ht="14.25" customHeight="1">
      <c r="A29" s="153"/>
      <c r="B29" s="28" t="s">
        <v>148</v>
      </c>
      <c r="C29" s="171">
        <f>SUMIF('січень'!$B$4:$B$40,$B29,'січень'!$C$3:$C$40)</f>
        <v>0</v>
      </c>
      <c r="D29" s="171">
        <f>SUMIF('лютий'!$B$3:$B$38,$B29,'лютий'!$C$3:$C$38)</f>
        <v>0</v>
      </c>
      <c r="E29" s="171">
        <f>SUMIF('лютий'!$B$3:$B$38,$B29,'лютий'!$C$3:$C$38)</f>
        <v>0</v>
      </c>
      <c r="F29" s="171">
        <f>SUMIF('лютий'!$B$3:$B$38,$B29,'лютий'!$C$3:$C$38)</f>
        <v>0</v>
      </c>
      <c r="G29" s="171">
        <f>SUMIF('лютий'!$B$3:$B$38,$B29,'лютий'!$C$3:$C$38)</f>
        <v>0</v>
      </c>
      <c r="H29" s="171">
        <f>'червень'!C10</f>
        <v>671793.54</v>
      </c>
      <c r="I29" s="171">
        <f>SUMIF('лютий'!$B$3:$B$38,$B29,'лютий'!$C$3:$C$38)</f>
        <v>0</v>
      </c>
      <c r="J29" s="171">
        <f>SUMIF('лютий'!$B$3:$B$38,$B29,'лютий'!$C$3:$C$38)</f>
        <v>0</v>
      </c>
      <c r="K29" s="171">
        <f>SUMIF('лютий'!$B$3:$B$38,$B29,'лютий'!$C$3:$C$38)</f>
        <v>0</v>
      </c>
      <c r="L29" s="171">
        <f>SUMIF('лютий'!$B$3:$B$38,$B29,'лютий'!$C$3:$C$38)</f>
        <v>0</v>
      </c>
      <c r="M29" s="171">
        <f>SUMIF('лютий'!$B$3:$B$38,$B29,'лютий'!$C$3:$C$38)</f>
        <v>0</v>
      </c>
      <c r="N29" s="171">
        <f>SUMIF('лютий'!$B$3:$B$38,$B29,'лютий'!$C$3:$C$38)</f>
        <v>0</v>
      </c>
      <c r="O29" s="172">
        <f t="shared" si="3"/>
        <v>671793.54</v>
      </c>
    </row>
    <row r="30" ht="14.25" customHeight="1">
      <c r="A30" s="153"/>
      <c r="B30" s="28" t="s">
        <v>150</v>
      </c>
      <c r="C30" s="171">
        <v>0.0</v>
      </c>
      <c r="D30" s="170">
        <v>0.0</v>
      </c>
      <c r="E30" s="171">
        <v>0.0</v>
      </c>
      <c r="F30" s="171">
        <v>0.0</v>
      </c>
      <c r="G30" s="171">
        <v>0.0</v>
      </c>
      <c r="H30" s="171">
        <f>75000</f>
        <v>75000</v>
      </c>
      <c r="I30" s="171">
        <v>0.0</v>
      </c>
      <c r="J30" s="171">
        <v>0.0</v>
      </c>
      <c r="K30" s="171">
        <v>0.0</v>
      </c>
      <c r="L30" s="170">
        <v>0.0</v>
      </c>
      <c r="M30" s="171">
        <v>0.0</v>
      </c>
      <c r="N30" s="171">
        <v>0.0</v>
      </c>
      <c r="O30" s="172">
        <f t="shared" si="3"/>
        <v>75000</v>
      </c>
    </row>
    <row r="31" ht="14.25" customHeight="1">
      <c r="A31" s="153"/>
      <c r="B31" s="28" t="s">
        <v>151</v>
      </c>
      <c r="C31" s="171">
        <v>0.0</v>
      </c>
      <c r="D31" s="171">
        <v>0.0</v>
      </c>
      <c r="E31" s="171">
        <v>0.0</v>
      </c>
      <c r="F31" s="171">
        <v>0.0</v>
      </c>
      <c r="G31" s="171">
        <v>0.0</v>
      </c>
      <c r="H31" s="171">
        <f>'червень'!C14</f>
        <v>1893860.19</v>
      </c>
      <c r="I31" s="171">
        <v>0.0</v>
      </c>
      <c r="J31" s="171">
        <v>0.0</v>
      </c>
      <c r="K31" s="171">
        <v>0.0</v>
      </c>
      <c r="L31" s="171">
        <v>0.0</v>
      </c>
      <c r="M31" s="171">
        <v>0.0</v>
      </c>
      <c r="N31" s="171">
        <v>0.0</v>
      </c>
      <c r="O31" s="172">
        <f t="shared" si="3"/>
        <v>1893860.19</v>
      </c>
    </row>
    <row r="32" ht="14.25" customHeight="1">
      <c r="A32" s="153"/>
      <c r="B32" s="28" t="s">
        <v>157</v>
      </c>
      <c r="C32" s="171">
        <v>0.0</v>
      </c>
      <c r="D32" s="171">
        <v>0.0</v>
      </c>
      <c r="E32" s="171">
        <v>0.0</v>
      </c>
      <c r="F32" s="171">
        <v>0.0</v>
      </c>
      <c r="G32" s="171">
        <v>0.0</v>
      </c>
      <c r="H32" s="171">
        <f>30000</f>
        <v>30000</v>
      </c>
      <c r="I32" s="171">
        <v>0.0</v>
      </c>
      <c r="J32" s="171">
        <v>0.0</v>
      </c>
      <c r="K32" s="171">
        <v>0.0</v>
      </c>
      <c r="L32" s="171">
        <v>0.0</v>
      </c>
      <c r="M32" s="170">
        <v>0.0</v>
      </c>
      <c r="N32" s="171">
        <v>0.0</v>
      </c>
      <c r="O32" s="172">
        <f t="shared" si="3"/>
        <v>30000</v>
      </c>
    </row>
    <row r="33" ht="14.25" customHeight="1">
      <c r="A33" s="153"/>
      <c r="B33" s="28" t="s">
        <v>164</v>
      </c>
      <c r="C33" s="171">
        <v>0.0</v>
      </c>
      <c r="D33" s="171">
        <v>0.0</v>
      </c>
      <c r="E33" s="171">
        <v>0.0</v>
      </c>
      <c r="F33" s="171">
        <v>0.0</v>
      </c>
      <c r="G33" s="171">
        <v>0.0</v>
      </c>
      <c r="H33" s="171">
        <f>'червень'!C35</f>
        <v>100000</v>
      </c>
      <c r="I33" s="171">
        <v>0.0</v>
      </c>
      <c r="J33" s="171">
        <v>0.0</v>
      </c>
      <c r="K33" s="171">
        <v>0.0</v>
      </c>
      <c r="L33" s="171">
        <v>0.0</v>
      </c>
      <c r="M33" s="171">
        <v>0.0</v>
      </c>
      <c r="N33" s="171">
        <v>0.0</v>
      </c>
      <c r="O33" s="172">
        <f t="shared" si="3"/>
        <v>100000</v>
      </c>
    </row>
    <row r="34" ht="14.25" customHeight="1">
      <c r="A34" s="153"/>
      <c r="B34" s="28" t="s">
        <v>173</v>
      </c>
      <c r="C34" s="171">
        <v>0.0</v>
      </c>
      <c r="D34" s="171">
        <v>0.0</v>
      </c>
      <c r="E34" s="171">
        <v>0.0</v>
      </c>
      <c r="F34" s="171">
        <v>0.0</v>
      </c>
      <c r="G34" s="171">
        <v>0.0</v>
      </c>
      <c r="H34" s="171">
        <f>'червень'!C54+'червень'!C56</f>
        <v>150000</v>
      </c>
      <c r="I34" s="171">
        <v>0.0</v>
      </c>
      <c r="J34" s="171">
        <v>0.0</v>
      </c>
      <c r="K34" s="171">
        <v>0.0</v>
      </c>
      <c r="L34" s="171">
        <v>0.0</v>
      </c>
      <c r="M34" s="171">
        <v>0.0</v>
      </c>
      <c r="N34" s="171">
        <v>0.0</v>
      </c>
      <c r="O34" s="172">
        <f t="shared" si="3"/>
        <v>150000</v>
      </c>
    </row>
    <row r="35" ht="14.25" customHeight="1">
      <c r="A35" s="153"/>
      <c r="B35" s="28" t="s">
        <v>174</v>
      </c>
      <c r="C35" s="171">
        <v>0.0</v>
      </c>
      <c r="D35" s="171">
        <v>0.0</v>
      </c>
      <c r="E35" s="171">
        <v>0.0</v>
      </c>
      <c r="F35" s="171">
        <v>0.0</v>
      </c>
      <c r="G35" s="171">
        <v>0.0</v>
      </c>
      <c r="H35" s="171">
        <f>37320</f>
        <v>37320</v>
      </c>
      <c r="I35" s="171">
        <v>0.0</v>
      </c>
      <c r="J35" s="171">
        <v>0.0</v>
      </c>
      <c r="K35" s="171">
        <v>0.0</v>
      </c>
      <c r="L35" s="171">
        <v>0.0</v>
      </c>
      <c r="M35" s="170">
        <v>0.0</v>
      </c>
      <c r="N35" s="171">
        <v>0.0</v>
      </c>
      <c r="O35" s="172">
        <f t="shared" si="3"/>
        <v>37320</v>
      </c>
    </row>
    <row r="36" ht="14.25" customHeight="1">
      <c r="A36" s="153"/>
      <c r="B36" s="21"/>
      <c r="C36" s="171">
        <v>0.0</v>
      </c>
      <c r="D36" s="171">
        <v>0.0</v>
      </c>
      <c r="E36" s="171">
        <v>0.0</v>
      </c>
      <c r="F36" s="171">
        <v>0.0</v>
      </c>
      <c r="G36" s="171">
        <v>0.0</v>
      </c>
      <c r="H36" s="171">
        <v>0.0</v>
      </c>
      <c r="I36" s="171">
        <v>0.0</v>
      </c>
      <c r="J36" s="171">
        <v>0.0</v>
      </c>
      <c r="K36" s="171">
        <v>0.0</v>
      </c>
      <c r="L36" s="171">
        <v>0.0</v>
      </c>
      <c r="M36" s="171">
        <v>0.0</v>
      </c>
      <c r="N36" s="171">
        <v>0.0</v>
      </c>
      <c r="O36" s="172">
        <f t="shared" si="3"/>
        <v>0</v>
      </c>
    </row>
    <row r="37" ht="14.25" customHeight="1">
      <c r="A37" s="153"/>
      <c r="B37" s="21"/>
      <c r="C37" s="171">
        <v>0.0</v>
      </c>
      <c r="D37" s="171">
        <v>0.0</v>
      </c>
      <c r="E37" s="171">
        <v>0.0</v>
      </c>
      <c r="F37" s="171">
        <v>0.0</v>
      </c>
      <c r="G37" s="171">
        <v>0.0</v>
      </c>
      <c r="H37" s="171">
        <v>0.0</v>
      </c>
      <c r="I37" s="171">
        <v>0.0</v>
      </c>
      <c r="J37" s="171">
        <v>0.0</v>
      </c>
      <c r="K37" s="171">
        <v>0.0</v>
      </c>
      <c r="L37" s="171">
        <v>0.0</v>
      </c>
      <c r="M37" s="171">
        <v>0.0</v>
      </c>
      <c r="N37" s="170">
        <v>0.0</v>
      </c>
      <c r="O37" s="172">
        <f t="shared" si="3"/>
        <v>0</v>
      </c>
    </row>
    <row r="38" ht="14.25" customHeight="1">
      <c r="A38" s="153"/>
      <c r="B38" s="174"/>
      <c r="C38" s="170">
        <v>0.0</v>
      </c>
      <c r="D38" s="171">
        <v>0.0</v>
      </c>
      <c r="E38" s="171">
        <v>0.0</v>
      </c>
      <c r="F38" s="171">
        <v>0.0</v>
      </c>
      <c r="G38" s="171">
        <v>0.0</v>
      </c>
      <c r="H38" s="171">
        <v>0.0</v>
      </c>
      <c r="I38" s="171">
        <v>0.0</v>
      </c>
      <c r="J38" s="171">
        <v>0.0</v>
      </c>
      <c r="K38" s="171">
        <v>0.0</v>
      </c>
      <c r="L38" s="171">
        <v>0.0</v>
      </c>
      <c r="M38" s="171">
        <v>0.0</v>
      </c>
      <c r="N38" s="171">
        <v>0.0</v>
      </c>
      <c r="O38" s="172">
        <f t="shared" si="3"/>
        <v>0</v>
      </c>
    </row>
    <row r="39" ht="14.25" customHeight="1">
      <c r="A39" s="153"/>
      <c r="B39" s="21"/>
      <c r="C39" s="171">
        <v>0.0</v>
      </c>
      <c r="D39" s="171">
        <v>0.0</v>
      </c>
      <c r="E39" s="170">
        <v>0.0</v>
      </c>
      <c r="F39" s="171">
        <v>0.0</v>
      </c>
      <c r="G39" s="171">
        <v>0.0</v>
      </c>
      <c r="H39" s="171">
        <v>0.0</v>
      </c>
      <c r="I39" s="171">
        <v>0.0</v>
      </c>
      <c r="J39" s="171">
        <v>0.0</v>
      </c>
      <c r="K39" s="171">
        <v>0.0</v>
      </c>
      <c r="L39" s="171">
        <v>0.0</v>
      </c>
      <c r="M39" s="171">
        <v>0.0</v>
      </c>
      <c r="N39" s="171">
        <v>0.0</v>
      </c>
      <c r="O39" s="172">
        <f t="shared" si="3"/>
        <v>0</v>
      </c>
    </row>
    <row r="40" ht="14.25" customHeight="1">
      <c r="A40" s="153"/>
      <c r="B40" s="21"/>
      <c r="C40" s="171">
        <v>0.0</v>
      </c>
      <c r="D40" s="171">
        <v>0.0</v>
      </c>
      <c r="E40" s="171">
        <v>0.0</v>
      </c>
      <c r="F40" s="171">
        <v>0.0</v>
      </c>
      <c r="G40" s="171">
        <v>0.0</v>
      </c>
      <c r="H40" s="171">
        <v>0.0</v>
      </c>
      <c r="I40" s="171">
        <v>0.0</v>
      </c>
      <c r="J40" s="171">
        <v>0.0</v>
      </c>
      <c r="K40" s="171">
        <v>0.0</v>
      </c>
      <c r="L40" s="171">
        <v>0.0</v>
      </c>
      <c r="M40" s="170">
        <v>0.0</v>
      </c>
      <c r="N40" s="171">
        <v>0.0</v>
      </c>
      <c r="O40" s="172">
        <f t="shared" si="3"/>
        <v>0</v>
      </c>
    </row>
    <row r="41" ht="14.25" customHeight="1">
      <c r="A41" s="153"/>
      <c r="B41" s="21"/>
      <c r="C41" s="171">
        <v>0.0</v>
      </c>
      <c r="D41" s="171">
        <v>0.0</v>
      </c>
      <c r="E41" s="171">
        <v>0.0</v>
      </c>
      <c r="F41" s="171">
        <v>0.0</v>
      </c>
      <c r="G41" s="171">
        <v>0.0</v>
      </c>
      <c r="H41" s="171">
        <v>0.0</v>
      </c>
      <c r="I41" s="171">
        <v>0.0</v>
      </c>
      <c r="J41" s="171">
        <v>0.0</v>
      </c>
      <c r="K41" s="171">
        <v>0.0</v>
      </c>
      <c r="L41" s="171">
        <v>0.0</v>
      </c>
      <c r="M41" s="171">
        <f>'листопад'!C4+'листопад'!C60</f>
        <v>0</v>
      </c>
      <c r="N41" s="171">
        <v>0.0</v>
      </c>
      <c r="O41" s="172">
        <f t="shared" si="3"/>
        <v>0</v>
      </c>
    </row>
    <row r="42" ht="14.25" customHeight="1">
      <c r="A42" s="153"/>
      <c r="B42" s="21"/>
      <c r="C42" s="171">
        <v>0.0</v>
      </c>
      <c r="D42" s="171">
        <v>0.0</v>
      </c>
      <c r="E42" s="171">
        <v>0.0</v>
      </c>
      <c r="F42" s="171">
        <v>0.0</v>
      </c>
      <c r="G42" s="171">
        <v>0.0</v>
      </c>
      <c r="H42" s="171">
        <v>0.0</v>
      </c>
      <c r="I42" s="171">
        <v>0.0</v>
      </c>
      <c r="J42" s="171">
        <v>0.0</v>
      </c>
      <c r="K42" s="171">
        <v>0.0</v>
      </c>
      <c r="L42" s="171">
        <v>0.0</v>
      </c>
      <c r="M42" s="171">
        <v>0.0</v>
      </c>
      <c r="N42" s="171">
        <v>0.0</v>
      </c>
      <c r="O42" s="172">
        <f t="shared" si="3"/>
        <v>0</v>
      </c>
    </row>
    <row r="43" ht="14.25" customHeight="1">
      <c r="A43" s="153"/>
      <c r="B43" s="21"/>
      <c r="C43" s="171">
        <v>0.0</v>
      </c>
      <c r="D43" s="171">
        <v>0.0</v>
      </c>
      <c r="E43" s="171">
        <v>0.0</v>
      </c>
      <c r="F43" s="171">
        <v>0.0</v>
      </c>
      <c r="G43" s="171">
        <v>0.0</v>
      </c>
      <c r="H43" s="171">
        <v>0.0</v>
      </c>
      <c r="I43" s="171">
        <v>0.0</v>
      </c>
      <c r="J43" s="171">
        <v>0.0</v>
      </c>
      <c r="K43" s="171">
        <v>0.0</v>
      </c>
      <c r="L43" s="170">
        <v>0.0</v>
      </c>
      <c r="M43" s="170">
        <v>0.0</v>
      </c>
      <c r="N43" s="170">
        <v>0.0</v>
      </c>
      <c r="O43" s="172">
        <f t="shared" si="3"/>
        <v>0</v>
      </c>
    </row>
    <row r="44" ht="14.25" customHeight="1">
      <c r="A44" s="153"/>
      <c r="B44" s="21"/>
      <c r="C44" s="171">
        <v>0.0</v>
      </c>
      <c r="D44" s="171">
        <v>0.0</v>
      </c>
      <c r="E44" s="171">
        <v>0.0</v>
      </c>
      <c r="F44" s="171">
        <v>0.0</v>
      </c>
      <c r="G44" s="171">
        <v>0.0</v>
      </c>
      <c r="H44" s="171">
        <v>0.0</v>
      </c>
      <c r="I44" s="171">
        <v>0.0</v>
      </c>
      <c r="J44" s="171">
        <v>0.0</v>
      </c>
      <c r="K44" s="171">
        <v>0.0</v>
      </c>
      <c r="L44" s="170">
        <v>0.0</v>
      </c>
      <c r="M44" s="171">
        <v>0.0</v>
      </c>
      <c r="N44" s="171">
        <v>0.0</v>
      </c>
      <c r="O44" s="172">
        <f t="shared" si="3"/>
        <v>0</v>
      </c>
    </row>
    <row r="45" ht="14.25" customHeight="1">
      <c r="A45" s="164" t="s">
        <v>297</v>
      </c>
      <c r="B45" s="175" t="s">
        <v>298</v>
      </c>
      <c r="C45" s="166">
        <f>'січень'!D65</f>
        <v>140689.5</v>
      </c>
      <c r="D45" s="166">
        <f>'лютий'!D59</f>
        <v>0</v>
      </c>
      <c r="E45" s="166">
        <f>'березень'!D65</f>
        <v>0</v>
      </c>
      <c r="F45" s="166">
        <f>'квітень'!D65</f>
        <v>6301.94</v>
      </c>
      <c r="G45" s="166">
        <f>'травень'!D66</f>
        <v>16009</v>
      </c>
      <c r="H45" s="166">
        <f>'червень'!D66</f>
        <v>0</v>
      </c>
      <c r="I45" s="167">
        <f>'липень'!D66</f>
        <v>13577.5</v>
      </c>
      <c r="J45" s="167">
        <f>'серпень'!D64</f>
        <v>32809</v>
      </c>
      <c r="K45" s="167">
        <f>'вересень'!D66</f>
        <v>0</v>
      </c>
      <c r="L45" s="167">
        <f>'жовтень'!D66</f>
        <v>0</v>
      </c>
      <c r="M45" s="167">
        <f>'листопад'!D66</f>
        <v>0</v>
      </c>
      <c r="N45" s="167">
        <f>'грудень'!D66</f>
        <v>0</v>
      </c>
      <c r="O45" s="168">
        <f t="shared" si="3"/>
        <v>209386.94</v>
      </c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</row>
    <row r="46" ht="14.25" customHeight="1">
      <c r="A46" s="164" t="s">
        <v>299</v>
      </c>
      <c r="B46" s="175" t="s">
        <v>300</v>
      </c>
      <c r="C46" s="166">
        <f>'січень'!E65</f>
        <v>185998.659</v>
      </c>
      <c r="D46" s="166">
        <f>'лютий'!E59</f>
        <v>759759.34</v>
      </c>
      <c r="E46" s="166">
        <f>'березень'!E65</f>
        <v>909253.58</v>
      </c>
      <c r="F46" s="166">
        <f>'квітень'!E65</f>
        <v>640274.33</v>
      </c>
      <c r="G46" s="166">
        <f>'травень'!E66</f>
        <v>656530.9</v>
      </c>
      <c r="H46" s="166">
        <f>'червень'!E66</f>
        <v>697633.27</v>
      </c>
      <c r="I46" s="167">
        <f>'липень'!E66</f>
        <v>457021.88</v>
      </c>
      <c r="J46" s="167">
        <f>'серпень'!E64</f>
        <v>939071.23</v>
      </c>
      <c r="K46" s="167">
        <f>'вересень'!E66</f>
        <v>0</v>
      </c>
      <c r="L46" s="167">
        <f>'жовтень'!E66</f>
        <v>0</v>
      </c>
      <c r="M46" s="167">
        <f>'листопад'!E66</f>
        <v>0</v>
      </c>
      <c r="N46" s="167">
        <f>'грудень'!E66</f>
        <v>0</v>
      </c>
      <c r="O46" s="168">
        <f t="shared" si="3"/>
        <v>5245543.189</v>
      </c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</row>
    <row r="47" ht="14.25" customHeight="1">
      <c r="A47" s="160" t="s">
        <v>301</v>
      </c>
      <c r="B47" s="177" t="s">
        <v>302</v>
      </c>
      <c r="C47" s="162">
        <f>'січень'!$G$65</f>
        <v>20.38</v>
      </c>
      <c r="D47" s="162">
        <f>'лютий'!$G$59</f>
        <v>18.41</v>
      </c>
      <c r="E47" s="162">
        <f>'березень'!G65</f>
        <v>20.38</v>
      </c>
      <c r="F47" s="162">
        <f>'квітень'!G65</f>
        <v>19.73</v>
      </c>
      <c r="G47" s="162">
        <f>'травень'!G66</f>
        <v>20.38</v>
      </c>
      <c r="H47" s="162">
        <f>'червень'!G66</f>
        <v>19.73</v>
      </c>
      <c r="I47" s="178">
        <f>'липень'!G66</f>
        <v>20.38</v>
      </c>
      <c r="J47" s="178">
        <f>'серпень'!G64</f>
        <v>20.39</v>
      </c>
      <c r="K47" s="178">
        <f>'вересень'!G66</f>
        <v>0</v>
      </c>
      <c r="L47" s="178">
        <f>'жовтень'!G66</f>
        <v>0</v>
      </c>
      <c r="M47" s="178">
        <f>'листопад'!G66</f>
        <v>0</v>
      </c>
      <c r="N47" s="178">
        <f>'грудень'!G66</f>
        <v>0</v>
      </c>
      <c r="O47" s="163">
        <f t="shared" si="3"/>
        <v>159.78</v>
      </c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</row>
    <row r="48" ht="14.25" customHeight="1">
      <c r="A48" s="153"/>
      <c r="B48" s="24"/>
      <c r="C48" s="169"/>
      <c r="D48" s="169"/>
      <c r="E48" s="169"/>
      <c r="F48" s="169"/>
      <c r="G48" s="169"/>
      <c r="H48" s="169"/>
      <c r="I48" s="179"/>
      <c r="J48" s="179"/>
      <c r="K48" s="179"/>
      <c r="L48" s="179"/>
      <c r="M48" s="179"/>
      <c r="N48" s="179"/>
      <c r="O48" s="179"/>
    </row>
    <row r="49" ht="14.25" customHeight="1">
      <c r="A49" s="156" t="s">
        <v>303</v>
      </c>
      <c r="B49" s="157" t="s">
        <v>304</v>
      </c>
      <c r="C49" s="158">
        <f t="shared" ref="C49:O49" si="4">C50+C74</f>
        <v>5167877.13</v>
      </c>
      <c r="D49" s="158">
        <f t="shared" si="4"/>
        <v>3429859.38</v>
      </c>
      <c r="E49" s="158">
        <f t="shared" si="4"/>
        <v>5080423.211</v>
      </c>
      <c r="F49" s="158">
        <f t="shared" si="4"/>
        <v>22192579.82</v>
      </c>
      <c r="G49" s="158">
        <f t="shared" si="4"/>
        <v>5340547.35</v>
      </c>
      <c r="H49" s="158">
        <f t="shared" si="4"/>
        <v>11368971.65</v>
      </c>
      <c r="I49" s="180">
        <f t="shared" si="4"/>
        <v>3025359.37</v>
      </c>
      <c r="J49" s="180">
        <f t="shared" si="4"/>
        <v>2631496.78</v>
      </c>
      <c r="K49" s="180">
        <f t="shared" si="4"/>
        <v>0</v>
      </c>
      <c r="L49" s="180">
        <f t="shared" si="4"/>
        <v>0</v>
      </c>
      <c r="M49" s="180">
        <f t="shared" si="4"/>
        <v>0</v>
      </c>
      <c r="N49" s="180">
        <f t="shared" si="4"/>
        <v>0</v>
      </c>
      <c r="O49" s="159">
        <f t="shared" si="4"/>
        <v>58237114.69</v>
      </c>
    </row>
    <row r="50" ht="14.25" customHeight="1">
      <c r="A50" s="160" t="s">
        <v>305</v>
      </c>
      <c r="B50" s="161" t="s">
        <v>306</v>
      </c>
      <c r="C50" s="162">
        <f t="shared" ref="C50:N50" si="5">SUM(C51:C73)</f>
        <v>3498656.64</v>
      </c>
      <c r="D50" s="162">
        <f t="shared" si="5"/>
        <v>2005668.66</v>
      </c>
      <c r="E50" s="162">
        <f t="shared" si="5"/>
        <v>3548523.46</v>
      </c>
      <c r="F50" s="162">
        <f t="shared" si="5"/>
        <v>20091582.29</v>
      </c>
      <c r="G50" s="162">
        <f t="shared" si="5"/>
        <v>3154066.58</v>
      </c>
      <c r="H50" s="162">
        <f t="shared" si="5"/>
        <v>8736218.69</v>
      </c>
      <c r="I50" s="178">
        <f t="shared" si="5"/>
        <v>1607877.94</v>
      </c>
      <c r="J50" s="178">
        <f t="shared" si="5"/>
        <v>1225779.91</v>
      </c>
      <c r="K50" s="178">
        <f t="shared" si="5"/>
        <v>0</v>
      </c>
      <c r="L50" s="178">
        <f t="shared" si="5"/>
        <v>0</v>
      </c>
      <c r="M50" s="178">
        <f t="shared" si="5"/>
        <v>0</v>
      </c>
      <c r="N50" s="178">
        <f t="shared" si="5"/>
        <v>0</v>
      </c>
      <c r="O50" s="163">
        <f t="shared" ref="O50:O74" si="6">SUBTOTAL(9,C50:N50)</f>
        <v>43868374.17</v>
      </c>
    </row>
    <row r="51" ht="14.25" customHeight="1">
      <c r="A51" s="153"/>
      <c r="B51" s="181" t="s">
        <v>307</v>
      </c>
      <c r="C51" s="182">
        <f>'січень'!H65</f>
        <v>766870</v>
      </c>
      <c r="D51" s="182">
        <f>'лютий'!H59</f>
        <v>1212539</v>
      </c>
      <c r="E51" s="182">
        <f>'березень'!H65</f>
        <v>412500</v>
      </c>
      <c r="F51" s="182">
        <f>'квітень'!H65</f>
        <v>17250000</v>
      </c>
      <c r="G51" s="183">
        <f>'травень'!H66</f>
        <v>283050</v>
      </c>
      <c r="H51" s="183">
        <f>'червень'!H66</f>
        <v>1350162.6</v>
      </c>
      <c r="I51" s="184">
        <f>'липень'!I66</f>
        <v>69700</v>
      </c>
      <c r="J51" s="184">
        <f>'серпень'!I64</f>
        <v>93680</v>
      </c>
      <c r="K51" s="184">
        <f>'вересень'!I66</f>
        <v>0</v>
      </c>
      <c r="L51" s="184">
        <f>'жовтень'!I66</f>
        <v>0</v>
      </c>
      <c r="M51" s="184">
        <f>'листопад'!I66</f>
        <v>0</v>
      </c>
      <c r="N51" s="184">
        <v>0.0</v>
      </c>
      <c r="O51" s="172">
        <f t="shared" si="6"/>
        <v>21438501.6</v>
      </c>
    </row>
    <row r="52" ht="14.25" customHeight="1">
      <c r="A52" s="153"/>
      <c r="B52" s="181" t="s">
        <v>11</v>
      </c>
      <c r="C52" s="182">
        <f>'січень'!$J$65</f>
        <v>0</v>
      </c>
      <c r="D52" s="182">
        <f>'лютий'!I59</f>
        <v>213600</v>
      </c>
      <c r="E52" s="182">
        <f>'березень'!I65</f>
        <v>507832</v>
      </c>
      <c r="F52" s="182">
        <f>'квітень'!I65</f>
        <v>270790.05</v>
      </c>
      <c r="G52" s="182">
        <f>'травень'!I66</f>
        <v>846681.93</v>
      </c>
      <c r="H52" s="182">
        <f>'червень'!I66</f>
        <v>1278404.12</v>
      </c>
      <c r="I52" s="184">
        <v>0.0</v>
      </c>
      <c r="J52" s="184">
        <v>0.0</v>
      </c>
      <c r="K52" s="184">
        <v>0.0</v>
      </c>
      <c r="L52" s="184">
        <v>0.0</v>
      </c>
      <c r="M52" s="184">
        <v>0.0</v>
      </c>
      <c r="N52" s="184">
        <v>0.0</v>
      </c>
      <c r="O52" s="172">
        <f t="shared" si="6"/>
        <v>3117308.1</v>
      </c>
    </row>
    <row r="53" ht="14.25" customHeight="1">
      <c r="A53" s="153"/>
      <c r="B53" s="181" t="s">
        <v>308</v>
      </c>
      <c r="C53" s="183">
        <v>0.0</v>
      </c>
      <c r="D53" s="183">
        <v>0.0</v>
      </c>
      <c r="E53" s="183">
        <f>'березень'!J65</f>
        <v>674292.15</v>
      </c>
      <c r="F53" s="182">
        <f>'квітень'!J65</f>
        <v>1437212.76</v>
      </c>
      <c r="G53" s="182">
        <v>0.0</v>
      </c>
      <c r="H53" s="183">
        <f>'червень'!J66</f>
        <v>4256656.9</v>
      </c>
      <c r="I53" s="184">
        <v>0.0</v>
      </c>
      <c r="J53" s="184">
        <v>0.0</v>
      </c>
      <c r="K53" s="185">
        <v>0.0</v>
      </c>
      <c r="L53" s="185">
        <v>0.0</v>
      </c>
      <c r="M53" s="184">
        <v>0.0</v>
      </c>
      <c r="N53" s="184">
        <v>0.0</v>
      </c>
      <c r="O53" s="172">
        <f t="shared" si="6"/>
        <v>6368161.81</v>
      </c>
    </row>
    <row r="54" ht="14.25" customHeight="1">
      <c r="A54" s="153"/>
      <c r="B54" s="181" t="s">
        <v>13</v>
      </c>
      <c r="C54" s="182">
        <f>'січень'!K65</f>
        <v>559032</v>
      </c>
      <c r="D54" s="182">
        <f>'лютий'!K59</f>
        <v>284779</v>
      </c>
      <c r="E54" s="182">
        <f>'березень'!K65</f>
        <v>1459163</v>
      </c>
      <c r="F54" s="182">
        <f>'квітень'!K65</f>
        <v>238860</v>
      </c>
      <c r="G54" s="182">
        <f>'травень'!K66</f>
        <v>620902</v>
      </c>
      <c r="H54" s="182">
        <f>'червень'!K66</f>
        <v>224582</v>
      </c>
      <c r="I54" s="184">
        <v>0.0</v>
      </c>
      <c r="J54" s="184">
        <v>0.0</v>
      </c>
      <c r="K54" s="184">
        <v>0.0</v>
      </c>
      <c r="L54" s="184">
        <v>0.0</v>
      </c>
      <c r="M54" s="184">
        <v>0.0</v>
      </c>
      <c r="N54" s="184">
        <v>0.0</v>
      </c>
      <c r="O54" s="172">
        <f t="shared" si="6"/>
        <v>3387318</v>
      </c>
    </row>
    <row r="55" ht="14.25" customHeight="1">
      <c r="A55" s="153"/>
      <c r="B55" s="181" t="s">
        <v>14</v>
      </c>
      <c r="C55" s="182">
        <f>'січень'!L65</f>
        <v>1864794</v>
      </c>
      <c r="D55" s="182">
        <f>'лютий'!L59</f>
        <v>212084</v>
      </c>
      <c r="E55" s="182">
        <f>'березень'!L65</f>
        <v>150000</v>
      </c>
      <c r="F55" s="182">
        <f>'квітень'!M65</f>
        <v>0</v>
      </c>
      <c r="G55" s="183">
        <v>0.0</v>
      </c>
      <c r="H55" s="183">
        <v>0.0</v>
      </c>
      <c r="I55" s="184">
        <f>'липень'!M66</f>
        <v>464604.56</v>
      </c>
      <c r="J55" s="184">
        <f>'серпень'!M64</f>
        <v>0</v>
      </c>
      <c r="K55" s="184">
        <f>'вересень'!M66</f>
        <v>0</v>
      </c>
      <c r="L55" s="184">
        <f>'жовтень'!M66</f>
        <v>0</v>
      </c>
      <c r="M55" s="184">
        <f>'листопад'!L66</f>
        <v>0</v>
      </c>
      <c r="N55" s="184">
        <f>'грудень'!M66</f>
        <v>0</v>
      </c>
      <c r="O55" s="172">
        <f t="shared" si="6"/>
        <v>2691482.56</v>
      </c>
    </row>
    <row r="56" ht="14.25" customHeight="1">
      <c r="A56" s="153"/>
      <c r="B56" s="181" t="s">
        <v>15</v>
      </c>
      <c r="C56" s="183">
        <v>0.0</v>
      </c>
      <c r="D56" s="183">
        <v>0.0</v>
      </c>
      <c r="E56" s="182">
        <v>0.0</v>
      </c>
      <c r="F56" s="183">
        <v>0.0</v>
      </c>
      <c r="G56" s="182">
        <f>'травень'!M66</f>
        <v>10000</v>
      </c>
      <c r="H56" s="182">
        <f>'червень'!M66</f>
        <v>444900</v>
      </c>
      <c r="I56" s="184">
        <v>0.0</v>
      </c>
      <c r="J56" s="184">
        <v>0.0</v>
      </c>
      <c r="K56" s="184">
        <v>0.0</v>
      </c>
      <c r="L56" s="184">
        <v>0.0</v>
      </c>
      <c r="M56" s="184">
        <v>0.0</v>
      </c>
      <c r="N56" s="184">
        <v>0.0</v>
      </c>
      <c r="O56" s="172">
        <f t="shared" si="6"/>
        <v>454900</v>
      </c>
    </row>
    <row r="57" ht="14.25" customHeight="1">
      <c r="A57" s="153"/>
      <c r="B57" s="186" t="s">
        <v>16</v>
      </c>
      <c r="C57" s="182">
        <f>'січень'!N65</f>
        <v>307960.64</v>
      </c>
      <c r="D57" s="182">
        <f>'лютий'!N59</f>
        <v>82666.66</v>
      </c>
      <c r="E57" s="182">
        <f>'березень'!N65</f>
        <v>294736.31</v>
      </c>
      <c r="F57" s="182">
        <f>'квітень'!N65</f>
        <v>253954.36</v>
      </c>
      <c r="G57" s="182">
        <f>'травень'!N66</f>
        <v>279040.65</v>
      </c>
      <c r="H57" s="182">
        <f>'червень'!N66</f>
        <v>284748.51</v>
      </c>
      <c r="I57" s="184">
        <v>0.0</v>
      </c>
      <c r="J57" s="184">
        <v>0.0</v>
      </c>
      <c r="K57" s="184">
        <v>0.0</v>
      </c>
      <c r="L57" s="184">
        <v>0.0</v>
      </c>
      <c r="M57" s="184">
        <v>0.0</v>
      </c>
      <c r="N57" s="184">
        <v>0.0</v>
      </c>
      <c r="O57" s="172">
        <f t="shared" si="6"/>
        <v>1503107.13</v>
      </c>
    </row>
    <row r="58" ht="14.25" customHeight="1">
      <c r="A58" s="153"/>
      <c r="B58" s="186" t="s">
        <v>17</v>
      </c>
      <c r="C58" s="183">
        <v>0.0</v>
      </c>
      <c r="D58" s="183">
        <f>'лютий'!O59</f>
        <v>0</v>
      </c>
      <c r="E58" s="183">
        <v>0.0</v>
      </c>
      <c r="F58" s="183">
        <f>'квітень'!O65</f>
        <v>399785.12</v>
      </c>
      <c r="G58" s="183">
        <v>0.0</v>
      </c>
      <c r="H58" s="183">
        <v>0.0</v>
      </c>
      <c r="I58" s="184">
        <f>'липень'!H66</f>
        <v>514500</v>
      </c>
      <c r="J58" s="184">
        <f>'серпень'!H64</f>
        <v>0</v>
      </c>
      <c r="K58" s="184">
        <f>'вересень'!H66</f>
        <v>0</v>
      </c>
      <c r="L58" s="184">
        <f>'жовтень'!H66</f>
        <v>0</v>
      </c>
      <c r="M58" s="184">
        <f>'листопад'!H66</f>
        <v>0</v>
      </c>
      <c r="N58" s="184">
        <f>'грудень'!H66</f>
        <v>0</v>
      </c>
      <c r="O58" s="172">
        <f t="shared" si="6"/>
        <v>914285.12</v>
      </c>
    </row>
    <row r="59" ht="14.25" customHeight="1">
      <c r="A59" s="153"/>
      <c r="B59" s="28" t="s">
        <v>18</v>
      </c>
      <c r="C59" s="182">
        <v>0.0</v>
      </c>
      <c r="D59" s="182">
        <v>0.0</v>
      </c>
      <c r="E59" s="182">
        <v>0.0</v>
      </c>
      <c r="F59" s="182">
        <v>0.0</v>
      </c>
      <c r="G59" s="182">
        <v>0.0</v>
      </c>
      <c r="H59" s="182">
        <v>0.0</v>
      </c>
      <c r="I59" s="184">
        <v>0.0</v>
      </c>
      <c r="J59" s="184">
        <v>0.0</v>
      </c>
      <c r="K59" s="184">
        <v>0.0</v>
      </c>
      <c r="L59" s="184">
        <v>0.0</v>
      </c>
      <c r="M59" s="184">
        <v>0.0</v>
      </c>
      <c r="N59" s="184">
        <v>0.0</v>
      </c>
      <c r="O59" s="172">
        <f t="shared" si="6"/>
        <v>0</v>
      </c>
    </row>
    <row r="60" ht="14.25" customHeight="1">
      <c r="A60" s="153"/>
      <c r="B60" s="186" t="s">
        <v>19</v>
      </c>
      <c r="C60" s="182">
        <f>'січень'!$S$65</f>
        <v>0</v>
      </c>
      <c r="D60" s="182">
        <f>'лютий'!$S$59</f>
        <v>0</v>
      </c>
      <c r="E60" s="182">
        <f>'березень'!Q65</f>
        <v>50000</v>
      </c>
      <c r="F60" s="182">
        <f>'квітень'!Q65</f>
        <v>90980</v>
      </c>
      <c r="G60" s="182">
        <f>'травень'!Q66</f>
        <v>50000</v>
      </c>
      <c r="H60" s="182">
        <f>'червень'!Q66</f>
        <v>88000</v>
      </c>
      <c r="I60" s="184">
        <v>0.0</v>
      </c>
      <c r="J60" s="184">
        <v>0.0</v>
      </c>
      <c r="K60" s="184">
        <v>0.0</v>
      </c>
      <c r="L60" s="184">
        <v>0.0</v>
      </c>
      <c r="M60" s="184">
        <v>0.0</v>
      </c>
      <c r="N60" s="184">
        <v>0.0</v>
      </c>
      <c r="O60" s="172">
        <f t="shared" si="6"/>
        <v>278980</v>
      </c>
    </row>
    <row r="61" ht="14.25" customHeight="1">
      <c r="A61" s="153"/>
      <c r="B61" s="186" t="s">
        <v>309</v>
      </c>
      <c r="C61" s="183">
        <v>0.0</v>
      </c>
      <c r="D61" s="183">
        <v>0.0</v>
      </c>
      <c r="E61" s="182">
        <v>0.0</v>
      </c>
      <c r="F61" s="182">
        <f>'квітень'!R65</f>
        <v>150000</v>
      </c>
      <c r="G61" s="182">
        <f>'травень'!S66</f>
        <v>47380</v>
      </c>
      <c r="H61" s="183">
        <f>'червень'!S66</f>
        <v>368608</v>
      </c>
      <c r="I61" s="184">
        <v>0.0</v>
      </c>
      <c r="J61" s="184">
        <v>0.0</v>
      </c>
      <c r="K61" s="184">
        <v>0.0</v>
      </c>
      <c r="L61" s="184">
        <v>0.0</v>
      </c>
      <c r="M61" s="184">
        <v>0.0</v>
      </c>
      <c r="N61" s="184">
        <v>0.0</v>
      </c>
      <c r="O61" s="172">
        <f t="shared" si="6"/>
        <v>565988</v>
      </c>
    </row>
    <row r="62" ht="14.25" customHeight="1">
      <c r="A62" s="153"/>
      <c r="B62" s="186" t="s">
        <v>142</v>
      </c>
      <c r="C62" s="182">
        <f>'січень'!R65</f>
        <v>0</v>
      </c>
      <c r="D62" s="182">
        <f>'лютий'!R59</f>
        <v>0</v>
      </c>
      <c r="E62" s="182">
        <f>'березень'!R65</f>
        <v>0</v>
      </c>
      <c r="F62" s="183">
        <v>0.0</v>
      </c>
      <c r="G62" s="183">
        <f>'травень'!R66</f>
        <v>1017012</v>
      </c>
      <c r="H62" s="183">
        <f>'червень'!O66</f>
        <v>30000</v>
      </c>
      <c r="I62" s="184">
        <f>'липень'!R66</f>
        <v>434573.38</v>
      </c>
      <c r="J62" s="184">
        <f>'серпень'!R64</f>
        <v>949749.91</v>
      </c>
      <c r="K62" s="184">
        <f>'вересень'!R66</f>
        <v>0</v>
      </c>
      <c r="L62" s="184">
        <f>'жовтень'!R66</f>
        <v>0</v>
      </c>
      <c r="M62" s="184">
        <f>'листопад'!Q66</f>
        <v>0</v>
      </c>
      <c r="N62" s="184">
        <f>'грудень'!R66</f>
        <v>0</v>
      </c>
      <c r="O62" s="172">
        <f t="shared" si="6"/>
        <v>2431335.29</v>
      </c>
    </row>
    <row r="63" ht="14.25" customHeight="1">
      <c r="A63" s="153"/>
      <c r="B63" s="173" t="s">
        <v>143</v>
      </c>
      <c r="C63" s="182">
        <v>0.0</v>
      </c>
      <c r="D63" s="182">
        <v>0.0</v>
      </c>
      <c r="E63" s="182">
        <v>0.0</v>
      </c>
      <c r="F63" s="182">
        <v>0.0</v>
      </c>
      <c r="G63" s="183">
        <v>0.0</v>
      </c>
      <c r="H63" s="183">
        <f>'червень'!P66</f>
        <v>408436.56</v>
      </c>
      <c r="I63" s="184">
        <v>0.0</v>
      </c>
      <c r="J63" s="184">
        <v>0.0</v>
      </c>
      <c r="K63" s="184">
        <v>0.0</v>
      </c>
      <c r="L63" s="184">
        <v>0.0</v>
      </c>
      <c r="M63" s="184">
        <v>0.0</v>
      </c>
      <c r="N63" s="184">
        <v>0.0</v>
      </c>
      <c r="O63" s="172">
        <f t="shared" si="6"/>
        <v>408436.56</v>
      </c>
    </row>
    <row r="64" ht="14.25" customHeight="1">
      <c r="A64" s="153"/>
      <c r="B64" s="186" t="s">
        <v>144</v>
      </c>
      <c r="C64" s="182">
        <v>0.0</v>
      </c>
      <c r="D64" s="182">
        <v>0.0</v>
      </c>
      <c r="E64" s="182">
        <v>0.0</v>
      </c>
      <c r="F64" s="182">
        <v>0.0</v>
      </c>
      <c r="G64" s="182">
        <f>'травень'!J66</f>
        <v>0</v>
      </c>
      <c r="H64" s="182">
        <f>1720</f>
        <v>1720</v>
      </c>
      <c r="I64" s="184">
        <v>0.0</v>
      </c>
      <c r="J64" s="184">
        <v>0.0</v>
      </c>
      <c r="K64" s="184">
        <v>0.0</v>
      </c>
      <c r="L64" s="184">
        <v>0.0</v>
      </c>
      <c r="M64" s="184">
        <v>0.0</v>
      </c>
      <c r="N64" s="184">
        <v>0.0</v>
      </c>
      <c r="O64" s="172">
        <f t="shared" si="6"/>
        <v>1720</v>
      </c>
    </row>
    <row r="65" ht="14.25" customHeight="1">
      <c r="A65" s="153"/>
      <c r="B65" s="30"/>
      <c r="C65" s="182">
        <v>0.0</v>
      </c>
      <c r="D65" s="182">
        <v>0.0</v>
      </c>
      <c r="E65" s="182">
        <v>0.0</v>
      </c>
      <c r="F65" s="182">
        <v>0.0</v>
      </c>
      <c r="G65" s="182">
        <v>0.0</v>
      </c>
      <c r="H65" s="182">
        <v>0.0</v>
      </c>
      <c r="I65" s="184">
        <v>0.0</v>
      </c>
      <c r="J65" s="184">
        <v>0.0</v>
      </c>
      <c r="K65" s="184">
        <v>0.0</v>
      </c>
      <c r="L65" s="184">
        <v>0.0</v>
      </c>
      <c r="M65" s="184">
        <v>0.0</v>
      </c>
      <c r="N65" s="184">
        <v>0.0</v>
      </c>
      <c r="O65" s="172">
        <f t="shared" si="6"/>
        <v>0</v>
      </c>
    </row>
    <row r="66" ht="14.25" customHeight="1">
      <c r="A66" s="153"/>
      <c r="B66" s="174"/>
      <c r="C66" s="182">
        <v>0.0</v>
      </c>
      <c r="D66" s="182">
        <v>0.0</v>
      </c>
      <c r="E66" s="182">
        <v>0.0</v>
      </c>
      <c r="F66" s="182">
        <v>0.0</v>
      </c>
      <c r="G66" s="182">
        <v>0.0</v>
      </c>
      <c r="H66" s="182">
        <v>0.0</v>
      </c>
      <c r="I66" s="184">
        <v>0.0</v>
      </c>
      <c r="J66" s="184">
        <v>0.0</v>
      </c>
      <c r="K66" s="184">
        <v>0.0</v>
      </c>
      <c r="L66" s="184">
        <v>0.0</v>
      </c>
      <c r="M66" s="184">
        <v>0.0</v>
      </c>
      <c r="N66" s="184">
        <v>0.0</v>
      </c>
      <c r="O66" s="172">
        <f t="shared" si="6"/>
        <v>0</v>
      </c>
    </row>
    <row r="67" ht="14.25" customHeight="1">
      <c r="A67" s="153"/>
      <c r="B67" s="30"/>
      <c r="C67" s="182">
        <v>0.0</v>
      </c>
      <c r="D67" s="182">
        <v>0.0</v>
      </c>
      <c r="E67" s="182">
        <v>0.0</v>
      </c>
      <c r="F67" s="182">
        <v>0.0</v>
      </c>
      <c r="G67" s="182">
        <v>0.0</v>
      </c>
      <c r="H67" s="182">
        <v>0.0</v>
      </c>
      <c r="I67" s="184">
        <v>0.0</v>
      </c>
      <c r="J67" s="184">
        <v>0.0</v>
      </c>
      <c r="K67" s="184">
        <v>0.0</v>
      </c>
      <c r="L67" s="184">
        <v>0.0</v>
      </c>
      <c r="M67" s="184">
        <v>0.0</v>
      </c>
      <c r="N67" s="184">
        <v>0.0</v>
      </c>
      <c r="O67" s="172">
        <f t="shared" si="6"/>
        <v>0</v>
      </c>
    </row>
    <row r="68" ht="14.25" customHeight="1">
      <c r="A68" s="153"/>
      <c r="B68" s="30"/>
      <c r="C68" s="182">
        <f>'січень'!P65</f>
        <v>0</v>
      </c>
      <c r="D68" s="182">
        <f>'лютий'!P59</f>
        <v>0</v>
      </c>
      <c r="E68" s="182">
        <v>0.0</v>
      </c>
      <c r="F68" s="182">
        <v>0.0</v>
      </c>
      <c r="G68" s="182">
        <v>0.0</v>
      </c>
      <c r="H68" s="182">
        <v>0.0</v>
      </c>
      <c r="I68" s="184">
        <v>0.0</v>
      </c>
      <c r="J68" s="184">
        <v>0.0</v>
      </c>
      <c r="K68" s="184">
        <v>0.0</v>
      </c>
      <c r="L68" s="184">
        <f>'жовтень'!P66</f>
        <v>0</v>
      </c>
      <c r="M68" s="184">
        <f>'листопад'!O66</f>
        <v>0</v>
      </c>
      <c r="N68" s="184">
        <f>'грудень'!P66</f>
        <v>0</v>
      </c>
      <c r="O68" s="172">
        <f t="shared" si="6"/>
        <v>0</v>
      </c>
    </row>
    <row r="69" ht="14.25" customHeight="1">
      <c r="A69" s="153"/>
      <c r="B69" s="174"/>
      <c r="C69" s="182">
        <v>0.0</v>
      </c>
      <c r="D69" s="182">
        <v>0.0</v>
      </c>
      <c r="E69" s="183">
        <v>0.0</v>
      </c>
      <c r="F69" s="182">
        <v>0.0</v>
      </c>
      <c r="G69" s="182">
        <v>0.0</v>
      </c>
      <c r="H69" s="182">
        <v>0.0</v>
      </c>
      <c r="I69" s="184">
        <v>0.0</v>
      </c>
      <c r="J69" s="184">
        <v>0.0</v>
      </c>
      <c r="K69" s="184">
        <v>0.0</v>
      </c>
      <c r="L69" s="184">
        <v>0.0</v>
      </c>
      <c r="M69" s="184">
        <v>0.0</v>
      </c>
      <c r="N69" s="184">
        <v>0.0</v>
      </c>
      <c r="O69" s="172">
        <f t="shared" si="6"/>
        <v>0</v>
      </c>
    </row>
    <row r="70" ht="14.25" customHeight="1">
      <c r="A70" s="153"/>
      <c r="B70" s="30"/>
      <c r="C70" s="182">
        <v>0.0</v>
      </c>
      <c r="D70" s="182">
        <v>0.0</v>
      </c>
      <c r="E70" s="182">
        <v>0.0</v>
      </c>
      <c r="F70" s="182">
        <v>0.0</v>
      </c>
      <c r="G70" s="182">
        <v>0.0</v>
      </c>
      <c r="H70" s="182">
        <v>0.0</v>
      </c>
      <c r="I70" s="184">
        <v>0.0</v>
      </c>
      <c r="J70" s="184">
        <v>0.0</v>
      </c>
      <c r="K70" s="184">
        <v>0.0</v>
      </c>
      <c r="L70" s="184">
        <v>0.0</v>
      </c>
      <c r="M70" s="184">
        <v>0.0</v>
      </c>
      <c r="N70" s="184">
        <v>0.0</v>
      </c>
      <c r="O70" s="172">
        <f t="shared" si="6"/>
        <v>0</v>
      </c>
    </row>
    <row r="71" ht="14.25" customHeight="1">
      <c r="A71" s="153"/>
      <c r="B71" s="174"/>
      <c r="C71" s="183">
        <v>0.0</v>
      </c>
      <c r="D71" s="182">
        <v>0.0</v>
      </c>
      <c r="E71" s="183">
        <v>0.0</v>
      </c>
      <c r="F71" s="183">
        <v>0.0</v>
      </c>
      <c r="G71" s="183">
        <v>0.0</v>
      </c>
      <c r="H71" s="182">
        <v>0.0</v>
      </c>
      <c r="I71" s="184">
        <v>0.0</v>
      </c>
      <c r="J71" s="184">
        <f>'серпень'!K64</f>
        <v>153190</v>
      </c>
      <c r="K71" s="184">
        <f>'вересень'!K66</f>
        <v>0</v>
      </c>
      <c r="L71" s="184">
        <v>0.0</v>
      </c>
      <c r="M71" s="184">
        <f>'листопад'!J66</f>
        <v>0</v>
      </c>
      <c r="N71" s="184">
        <f>'грудень'!K66</f>
        <v>0</v>
      </c>
      <c r="O71" s="172">
        <f t="shared" si="6"/>
        <v>153190</v>
      </c>
    </row>
    <row r="72" ht="14.25" customHeight="1">
      <c r="A72" s="153"/>
      <c r="B72" s="30"/>
      <c r="C72" s="182">
        <v>0.0</v>
      </c>
      <c r="D72" s="182">
        <v>0.0</v>
      </c>
      <c r="E72" s="182">
        <v>0.0</v>
      </c>
      <c r="F72" s="182">
        <f>'квітень'!S65</f>
        <v>0</v>
      </c>
      <c r="G72" s="182">
        <v>0.0</v>
      </c>
      <c r="H72" s="182">
        <v>0.0</v>
      </c>
      <c r="I72" s="184">
        <f>'липень'!S66</f>
        <v>124500</v>
      </c>
      <c r="J72" s="184">
        <f>'серпень'!S64</f>
        <v>29160</v>
      </c>
      <c r="K72" s="184">
        <f>'вересень'!S66</f>
        <v>0</v>
      </c>
      <c r="L72" s="184">
        <v>0.0</v>
      </c>
      <c r="M72" s="184">
        <v>0.0</v>
      </c>
      <c r="N72" s="184">
        <v>0.0</v>
      </c>
      <c r="O72" s="172">
        <f t="shared" si="6"/>
        <v>153660</v>
      </c>
    </row>
    <row r="73" ht="14.25" customHeight="1">
      <c r="A73" s="153"/>
      <c r="B73" s="30"/>
      <c r="C73" s="182">
        <v>0.0</v>
      </c>
      <c r="D73" s="182">
        <v>0.0</v>
      </c>
      <c r="E73" s="182">
        <v>0.0</v>
      </c>
      <c r="F73" s="183">
        <v>0.0</v>
      </c>
      <c r="G73" s="182">
        <v>0.0</v>
      </c>
      <c r="H73" s="182">
        <v>0.0</v>
      </c>
      <c r="I73" s="184">
        <v>0.0</v>
      </c>
      <c r="J73" s="184">
        <v>0.0</v>
      </c>
      <c r="K73" s="184">
        <v>0.0</v>
      </c>
      <c r="L73" s="184">
        <v>0.0</v>
      </c>
      <c r="M73" s="184">
        <v>0.0</v>
      </c>
      <c r="N73" s="184">
        <v>0.0</v>
      </c>
      <c r="O73" s="172">
        <f t="shared" si="6"/>
        <v>0</v>
      </c>
    </row>
    <row r="74" ht="14.25" customHeight="1">
      <c r="A74" s="160" t="s">
        <v>310</v>
      </c>
      <c r="B74" s="161" t="s">
        <v>6</v>
      </c>
      <c r="C74" s="162">
        <f>'січень'!$T65</f>
        <v>1669220.49</v>
      </c>
      <c r="D74" s="162">
        <f>'лютий'!$T59</f>
        <v>1424190.72</v>
      </c>
      <c r="E74" s="162">
        <f>'березень'!T65</f>
        <v>1531899.751</v>
      </c>
      <c r="F74" s="162">
        <f>'квітень'!T65</f>
        <v>2100997.53</v>
      </c>
      <c r="G74" s="162">
        <f>'травень'!T66</f>
        <v>2186480.77</v>
      </c>
      <c r="H74" s="162">
        <f>'червень'!T66</f>
        <v>2632752.96</v>
      </c>
      <c r="I74" s="178">
        <f>'липень'!T66</f>
        <v>1417481.43</v>
      </c>
      <c r="J74" s="178">
        <f>'серпень'!U64</f>
        <v>1405716.87</v>
      </c>
      <c r="K74" s="178">
        <f>'вересень'!T66</f>
        <v>0</v>
      </c>
      <c r="L74" s="178">
        <f>'жовтень'!T66</f>
        <v>0</v>
      </c>
      <c r="M74" s="178">
        <f>'листопад'!T66</f>
        <v>0</v>
      </c>
      <c r="N74" s="178">
        <f>'грудень'!T66</f>
        <v>0</v>
      </c>
      <c r="O74" s="163">
        <f t="shared" si="6"/>
        <v>14368740.52</v>
      </c>
    </row>
    <row r="75" ht="14.25" customHeight="1">
      <c r="A75" s="153"/>
      <c r="B75" s="24"/>
      <c r="C75" s="24"/>
      <c r="D75" s="24"/>
      <c r="E75" s="24"/>
      <c r="F75" s="24"/>
      <c r="G75" s="24"/>
      <c r="H75" s="24"/>
      <c r="I75" s="187"/>
      <c r="J75" s="187"/>
      <c r="K75" s="187"/>
      <c r="L75" s="187"/>
      <c r="M75" s="187"/>
      <c r="N75" s="187"/>
      <c r="O75" s="155"/>
    </row>
    <row r="76" ht="14.25" customHeight="1">
      <c r="A76" s="153"/>
      <c r="B76" s="24"/>
      <c r="C76" s="169"/>
      <c r="D76" s="169"/>
      <c r="E76" s="169"/>
      <c r="F76" s="169"/>
      <c r="G76" s="169"/>
      <c r="H76" s="169"/>
      <c r="I76" s="179"/>
      <c r="J76" s="179"/>
      <c r="K76" s="179"/>
      <c r="L76" s="179"/>
      <c r="M76" s="179"/>
      <c r="N76" s="179"/>
      <c r="O76" s="179"/>
    </row>
    <row r="77" ht="14.25" customHeight="1">
      <c r="A77" s="153"/>
      <c r="B77" s="24"/>
      <c r="C77" s="169"/>
      <c r="D77" s="169"/>
      <c r="E77" s="169"/>
      <c r="F77" s="169"/>
      <c r="G77" s="169"/>
      <c r="H77" s="169"/>
      <c r="I77" s="179"/>
      <c r="J77" s="179"/>
      <c r="K77" s="179"/>
      <c r="L77" s="179"/>
      <c r="M77" s="179"/>
      <c r="N77" s="179"/>
      <c r="O77" s="179"/>
    </row>
    <row r="78" ht="14.25" customHeight="1">
      <c r="A78" s="153"/>
      <c r="B78" s="24"/>
      <c r="C78" s="169"/>
      <c r="D78" s="169"/>
      <c r="E78" s="169"/>
      <c r="F78" s="169"/>
      <c r="G78" s="169"/>
      <c r="H78" s="169"/>
      <c r="I78" s="179"/>
      <c r="J78" s="179"/>
      <c r="K78" s="179"/>
      <c r="L78" s="179"/>
      <c r="M78" s="179"/>
      <c r="N78" s="179"/>
      <c r="O78" s="179"/>
    </row>
    <row r="79" ht="14.25" customHeight="1">
      <c r="A79" s="153"/>
      <c r="B79" s="24"/>
      <c r="C79" s="169"/>
      <c r="D79" s="169"/>
      <c r="E79" s="169"/>
      <c r="F79" s="169"/>
      <c r="G79" s="169"/>
      <c r="H79" s="169"/>
      <c r="I79" s="179"/>
      <c r="J79" s="179"/>
      <c r="K79" s="179"/>
      <c r="L79" s="179"/>
      <c r="M79" s="179"/>
      <c r="N79" s="179"/>
      <c r="O79" s="179"/>
    </row>
    <row r="80" ht="14.25" customHeight="1">
      <c r="A80" s="153"/>
      <c r="B80" s="24"/>
      <c r="C80" s="169"/>
      <c r="D80" s="169"/>
      <c r="E80" s="169"/>
      <c r="F80" s="169"/>
      <c r="G80" s="169"/>
      <c r="H80" s="169"/>
      <c r="I80" s="179"/>
      <c r="J80" s="179"/>
      <c r="K80" s="179"/>
      <c r="L80" s="179"/>
      <c r="M80" s="179"/>
      <c r="N80" s="179"/>
      <c r="O80" s="179"/>
    </row>
    <row r="81" ht="14.25" customHeight="1">
      <c r="A81" s="153"/>
      <c r="B81" s="24"/>
      <c r="C81" s="169"/>
      <c r="D81" s="169"/>
      <c r="E81" s="169"/>
      <c r="F81" s="169"/>
      <c r="G81" s="169"/>
      <c r="H81" s="169"/>
      <c r="I81" s="179"/>
      <c r="J81" s="179"/>
      <c r="K81" s="179"/>
      <c r="L81" s="179"/>
      <c r="M81" s="179"/>
      <c r="N81" s="179"/>
      <c r="O81" s="179"/>
    </row>
    <row r="82" ht="14.25" customHeight="1">
      <c r="A82" s="153"/>
      <c r="B82" s="24"/>
      <c r="C82" s="169"/>
      <c r="D82" s="169"/>
      <c r="E82" s="169"/>
      <c r="F82" s="169"/>
      <c r="G82" s="169"/>
      <c r="H82" s="169"/>
      <c r="I82" s="179"/>
      <c r="J82" s="179"/>
      <c r="K82" s="179"/>
      <c r="L82" s="179"/>
      <c r="M82" s="179"/>
      <c r="N82" s="179"/>
      <c r="O82" s="179"/>
    </row>
    <row r="83" ht="14.25" customHeight="1">
      <c r="A83" s="153"/>
      <c r="B83" s="24"/>
      <c r="C83" s="169"/>
      <c r="D83" s="169"/>
      <c r="E83" s="169"/>
      <c r="F83" s="169"/>
      <c r="G83" s="169"/>
      <c r="H83" s="169"/>
      <c r="I83" s="179"/>
      <c r="J83" s="179"/>
      <c r="K83" s="179"/>
      <c r="L83" s="179"/>
      <c r="M83" s="179"/>
      <c r="N83" s="179"/>
      <c r="O83" s="179"/>
    </row>
    <row r="84" ht="14.25" customHeight="1">
      <c r="A84" s="153"/>
      <c r="B84" s="24"/>
      <c r="C84" s="169"/>
      <c r="D84" s="169"/>
      <c r="E84" s="169"/>
      <c r="F84" s="169"/>
      <c r="G84" s="169"/>
      <c r="H84" s="169"/>
      <c r="I84" s="179"/>
      <c r="J84" s="179"/>
      <c r="K84" s="179"/>
      <c r="L84" s="179"/>
      <c r="M84" s="179"/>
      <c r="N84" s="179"/>
      <c r="O84" s="179"/>
    </row>
    <row r="85" ht="14.25" customHeight="1">
      <c r="A85" s="153"/>
      <c r="B85" s="24"/>
      <c r="C85" s="169"/>
      <c r="D85" s="169"/>
      <c r="E85" s="169"/>
      <c r="F85" s="169"/>
      <c r="G85" s="169"/>
      <c r="H85" s="169"/>
      <c r="I85" s="179"/>
      <c r="J85" s="179"/>
      <c r="K85" s="179"/>
      <c r="L85" s="179"/>
      <c r="M85" s="179"/>
      <c r="N85" s="179"/>
      <c r="O85" s="179"/>
    </row>
    <row r="86" ht="14.25" customHeight="1">
      <c r="A86" s="153"/>
      <c r="B86" s="24"/>
      <c r="C86" s="169"/>
      <c r="D86" s="169"/>
      <c r="E86" s="169"/>
      <c r="F86" s="169"/>
      <c r="G86" s="169"/>
      <c r="H86" s="169"/>
      <c r="I86" s="179"/>
      <c r="J86" s="179"/>
      <c r="K86" s="179"/>
      <c r="L86" s="179"/>
      <c r="M86" s="179"/>
      <c r="N86" s="179"/>
      <c r="O86" s="179"/>
    </row>
    <row r="87" ht="14.25" customHeight="1">
      <c r="A87" s="153"/>
      <c r="B87" s="24"/>
      <c r="C87" s="169"/>
      <c r="D87" s="169"/>
      <c r="E87" s="169"/>
      <c r="F87" s="169"/>
      <c r="G87" s="169"/>
      <c r="H87" s="169"/>
      <c r="I87" s="179"/>
      <c r="J87" s="179"/>
      <c r="K87" s="179"/>
      <c r="L87" s="179"/>
      <c r="M87" s="179"/>
      <c r="N87" s="179"/>
      <c r="O87" s="179"/>
    </row>
    <row r="88" ht="14.25" customHeight="1">
      <c r="A88" s="153"/>
      <c r="B88" s="24"/>
      <c r="C88" s="169"/>
      <c r="D88" s="169"/>
      <c r="E88" s="169"/>
      <c r="F88" s="169"/>
      <c r="G88" s="169"/>
      <c r="H88" s="169"/>
      <c r="I88" s="179"/>
      <c r="J88" s="179"/>
      <c r="K88" s="179"/>
      <c r="L88" s="179"/>
      <c r="M88" s="179"/>
      <c r="N88" s="179"/>
      <c r="O88" s="179"/>
    </row>
    <row r="89" ht="14.25" customHeight="1">
      <c r="A89" s="153"/>
      <c r="B89" s="24"/>
      <c r="C89" s="169"/>
      <c r="D89" s="169"/>
      <c r="E89" s="169"/>
      <c r="F89" s="169"/>
      <c r="G89" s="169"/>
      <c r="H89" s="169"/>
      <c r="I89" s="179"/>
      <c r="J89" s="179"/>
      <c r="K89" s="179"/>
      <c r="L89" s="179"/>
      <c r="M89" s="179"/>
      <c r="N89" s="179"/>
      <c r="O89" s="179"/>
    </row>
    <row r="90" ht="14.25" customHeight="1">
      <c r="A90" s="153"/>
      <c r="B90" s="24"/>
      <c r="C90" s="169"/>
      <c r="D90" s="169"/>
      <c r="E90" s="169"/>
      <c r="F90" s="169"/>
      <c r="G90" s="169"/>
      <c r="H90" s="169"/>
      <c r="I90" s="179"/>
      <c r="J90" s="179"/>
      <c r="K90" s="179"/>
      <c r="L90" s="179"/>
      <c r="M90" s="179"/>
      <c r="N90" s="179"/>
      <c r="O90" s="179"/>
    </row>
    <row r="91" ht="14.25" customHeight="1">
      <c r="A91" s="153"/>
      <c r="B91" s="24"/>
      <c r="C91" s="169"/>
      <c r="D91" s="169"/>
      <c r="E91" s="169"/>
      <c r="F91" s="169"/>
      <c r="G91" s="169"/>
      <c r="H91" s="169"/>
      <c r="I91" s="179"/>
      <c r="J91" s="179"/>
      <c r="K91" s="179"/>
      <c r="L91" s="179"/>
      <c r="M91" s="179"/>
      <c r="N91" s="179"/>
      <c r="O91" s="179"/>
    </row>
    <row r="92" ht="14.25" customHeight="1">
      <c r="A92" s="153"/>
      <c r="B92" s="24"/>
      <c r="C92" s="169"/>
      <c r="D92" s="169"/>
      <c r="E92" s="169"/>
      <c r="F92" s="169"/>
      <c r="G92" s="169"/>
      <c r="H92" s="169"/>
      <c r="I92" s="179"/>
      <c r="J92" s="179"/>
      <c r="K92" s="179"/>
      <c r="L92" s="179"/>
      <c r="M92" s="179"/>
      <c r="N92" s="179"/>
      <c r="O92" s="179"/>
    </row>
    <row r="93" ht="14.25" customHeight="1">
      <c r="A93" s="153"/>
      <c r="B93" s="24"/>
      <c r="C93" s="169"/>
      <c r="D93" s="169"/>
      <c r="E93" s="169"/>
      <c r="F93" s="169"/>
      <c r="G93" s="169"/>
      <c r="H93" s="169"/>
      <c r="I93" s="179"/>
      <c r="J93" s="179"/>
      <c r="K93" s="179"/>
      <c r="L93" s="179"/>
      <c r="M93" s="179"/>
      <c r="N93" s="179"/>
      <c r="O93" s="179"/>
    </row>
    <row r="94" ht="14.25" customHeight="1">
      <c r="A94" s="153"/>
      <c r="B94" s="24"/>
      <c r="C94" s="169"/>
      <c r="D94" s="169"/>
      <c r="E94" s="169"/>
      <c r="F94" s="169"/>
      <c r="G94" s="169"/>
      <c r="H94" s="169"/>
      <c r="I94" s="179"/>
      <c r="J94" s="179"/>
      <c r="K94" s="179"/>
      <c r="L94" s="179"/>
      <c r="M94" s="179"/>
      <c r="N94" s="179"/>
      <c r="O94" s="179"/>
    </row>
    <row r="95" ht="14.25" customHeight="1">
      <c r="A95" s="153"/>
      <c r="B95" s="24"/>
      <c r="C95" s="169"/>
      <c r="D95" s="169"/>
      <c r="E95" s="169"/>
      <c r="F95" s="169"/>
      <c r="G95" s="169"/>
      <c r="H95" s="169"/>
      <c r="I95" s="179"/>
      <c r="J95" s="179"/>
      <c r="K95" s="179"/>
      <c r="L95" s="179"/>
      <c r="M95" s="179"/>
      <c r="N95" s="179"/>
      <c r="O95" s="179"/>
    </row>
    <row r="96" ht="14.25" customHeight="1">
      <c r="A96" s="153"/>
      <c r="B96" s="24"/>
      <c r="C96" s="169"/>
      <c r="D96" s="169"/>
      <c r="E96" s="169"/>
      <c r="F96" s="169"/>
      <c r="G96" s="169"/>
      <c r="H96" s="169"/>
      <c r="I96" s="179"/>
      <c r="J96" s="179"/>
      <c r="K96" s="179"/>
      <c r="L96" s="179"/>
      <c r="M96" s="179"/>
      <c r="N96" s="179"/>
      <c r="O96" s="179"/>
    </row>
    <row r="97" ht="14.25" customHeight="1">
      <c r="A97" s="153"/>
      <c r="B97" s="24"/>
      <c r="C97" s="169"/>
      <c r="D97" s="169"/>
      <c r="E97" s="169"/>
      <c r="F97" s="169"/>
      <c r="G97" s="169"/>
      <c r="H97" s="169"/>
      <c r="I97" s="179"/>
      <c r="J97" s="179"/>
      <c r="K97" s="179"/>
      <c r="L97" s="179"/>
      <c r="M97" s="179"/>
      <c r="N97" s="179"/>
      <c r="O97" s="179"/>
    </row>
    <row r="98" ht="14.25" customHeight="1">
      <c r="A98" s="153"/>
      <c r="B98" s="24"/>
      <c r="C98" s="169"/>
      <c r="D98" s="169"/>
      <c r="E98" s="169"/>
      <c r="F98" s="169"/>
      <c r="G98" s="169"/>
      <c r="H98" s="169"/>
      <c r="I98" s="179"/>
      <c r="J98" s="179"/>
      <c r="K98" s="179"/>
      <c r="L98" s="179"/>
      <c r="M98" s="179"/>
      <c r="N98" s="179"/>
      <c r="O98" s="179"/>
    </row>
    <row r="99" ht="14.25" customHeight="1">
      <c r="A99" s="153"/>
      <c r="B99" s="24"/>
      <c r="C99" s="169"/>
      <c r="D99" s="169"/>
      <c r="E99" s="169"/>
      <c r="F99" s="169"/>
      <c r="G99" s="169"/>
      <c r="H99" s="169"/>
      <c r="I99" s="179"/>
      <c r="J99" s="179"/>
      <c r="K99" s="179"/>
      <c r="L99" s="179"/>
      <c r="M99" s="179"/>
      <c r="N99" s="179"/>
      <c r="O99" s="179"/>
    </row>
    <row r="100" ht="14.25" customHeight="1">
      <c r="A100" s="153"/>
      <c r="B100" s="24"/>
      <c r="C100" s="169"/>
      <c r="D100" s="169"/>
      <c r="E100" s="169"/>
      <c r="F100" s="169"/>
      <c r="G100" s="169"/>
      <c r="H100" s="169"/>
      <c r="I100" s="179"/>
      <c r="J100" s="179"/>
      <c r="K100" s="179"/>
      <c r="L100" s="179"/>
      <c r="M100" s="179"/>
      <c r="N100" s="179"/>
      <c r="O100" s="179"/>
    </row>
    <row r="101" ht="14.25" customHeight="1">
      <c r="A101" s="153"/>
      <c r="B101" s="24"/>
      <c r="C101" s="169"/>
      <c r="D101" s="169"/>
      <c r="E101" s="169"/>
      <c r="F101" s="169"/>
      <c r="G101" s="169"/>
      <c r="H101" s="169"/>
      <c r="I101" s="179"/>
      <c r="J101" s="179"/>
      <c r="K101" s="179"/>
      <c r="L101" s="179"/>
      <c r="M101" s="179"/>
      <c r="N101" s="179"/>
      <c r="O101" s="179"/>
    </row>
    <row r="102" ht="14.25" customHeight="1">
      <c r="A102" s="153"/>
      <c r="B102" s="24"/>
      <c r="C102" s="169"/>
      <c r="D102" s="169"/>
      <c r="E102" s="169"/>
      <c r="F102" s="169"/>
      <c r="G102" s="169"/>
      <c r="H102" s="169"/>
      <c r="I102" s="179"/>
      <c r="J102" s="179"/>
      <c r="K102" s="179"/>
      <c r="L102" s="179"/>
      <c r="M102" s="179"/>
      <c r="N102" s="179"/>
      <c r="O102" s="179"/>
    </row>
    <row r="103" ht="14.25" customHeight="1">
      <c r="A103" s="153"/>
      <c r="B103" s="24"/>
      <c r="C103" s="169"/>
      <c r="D103" s="169"/>
      <c r="E103" s="169"/>
      <c r="F103" s="169"/>
      <c r="G103" s="169"/>
      <c r="H103" s="169"/>
      <c r="I103" s="179"/>
      <c r="J103" s="179"/>
      <c r="K103" s="179"/>
      <c r="L103" s="179"/>
      <c r="M103" s="179"/>
      <c r="N103" s="179"/>
      <c r="O103" s="179"/>
    </row>
    <row r="104" ht="14.25" customHeight="1">
      <c r="A104" s="153"/>
      <c r="B104" s="24"/>
      <c r="C104" s="169"/>
      <c r="D104" s="169"/>
      <c r="E104" s="169"/>
      <c r="F104" s="169"/>
      <c r="G104" s="169"/>
      <c r="H104" s="169"/>
      <c r="I104" s="179"/>
      <c r="J104" s="179"/>
      <c r="K104" s="179"/>
      <c r="L104" s="179"/>
      <c r="M104" s="179"/>
      <c r="N104" s="179"/>
      <c r="O104" s="179"/>
    </row>
    <row r="105" ht="14.25" customHeight="1">
      <c r="A105" s="153"/>
      <c r="B105" s="24"/>
      <c r="C105" s="169"/>
      <c r="D105" s="169"/>
      <c r="E105" s="169"/>
      <c r="F105" s="169"/>
      <c r="G105" s="169"/>
      <c r="H105" s="169"/>
      <c r="I105" s="179"/>
      <c r="J105" s="179"/>
      <c r="K105" s="179"/>
      <c r="L105" s="179"/>
      <c r="M105" s="179"/>
      <c r="N105" s="179"/>
      <c r="O105" s="179"/>
    </row>
    <row r="106" ht="14.25" customHeight="1">
      <c r="A106" s="153"/>
      <c r="B106" s="24"/>
      <c r="C106" s="169"/>
      <c r="D106" s="169"/>
      <c r="E106" s="169"/>
      <c r="F106" s="169"/>
      <c r="G106" s="169"/>
      <c r="H106" s="169"/>
      <c r="I106" s="179"/>
      <c r="J106" s="179"/>
      <c r="K106" s="179"/>
      <c r="L106" s="179"/>
      <c r="M106" s="179"/>
      <c r="N106" s="179"/>
      <c r="O106" s="179"/>
    </row>
    <row r="107" ht="14.25" customHeight="1">
      <c r="A107" s="153"/>
      <c r="B107" s="24"/>
      <c r="C107" s="169"/>
      <c r="D107" s="169"/>
      <c r="E107" s="169"/>
      <c r="F107" s="169"/>
      <c r="G107" s="169"/>
      <c r="H107" s="169"/>
      <c r="I107" s="179"/>
      <c r="J107" s="179"/>
      <c r="K107" s="179"/>
      <c r="L107" s="179"/>
      <c r="M107" s="179"/>
      <c r="N107" s="179"/>
      <c r="O107" s="179"/>
    </row>
    <row r="108" ht="14.25" customHeight="1">
      <c r="A108" s="153"/>
      <c r="B108" s="24"/>
      <c r="C108" s="169"/>
      <c r="D108" s="169"/>
      <c r="E108" s="169"/>
      <c r="F108" s="169"/>
      <c r="G108" s="169"/>
      <c r="H108" s="169"/>
      <c r="I108" s="179"/>
      <c r="J108" s="179"/>
      <c r="K108" s="179"/>
      <c r="L108" s="179"/>
      <c r="M108" s="179"/>
      <c r="N108" s="179"/>
      <c r="O108" s="179"/>
    </row>
    <row r="109" ht="14.25" customHeight="1">
      <c r="A109" s="153"/>
      <c r="B109" s="24"/>
      <c r="C109" s="169"/>
      <c r="D109" s="169"/>
      <c r="E109" s="169"/>
      <c r="F109" s="169"/>
      <c r="G109" s="169"/>
      <c r="H109" s="169"/>
      <c r="I109" s="179"/>
      <c r="J109" s="179"/>
      <c r="K109" s="179"/>
      <c r="L109" s="179"/>
      <c r="M109" s="179"/>
      <c r="N109" s="179"/>
      <c r="O109" s="179"/>
    </row>
    <row r="110" ht="14.25" customHeight="1">
      <c r="A110" s="153"/>
      <c r="B110" s="24"/>
      <c r="C110" s="169"/>
      <c r="D110" s="169"/>
      <c r="E110" s="169"/>
      <c r="F110" s="169"/>
      <c r="G110" s="169"/>
      <c r="H110" s="169"/>
      <c r="I110" s="179"/>
      <c r="J110" s="179"/>
      <c r="K110" s="179"/>
      <c r="L110" s="179"/>
      <c r="M110" s="179"/>
      <c r="N110" s="179"/>
      <c r="O110" s="179"/>
    </row>
    <row r="111" ht="14.25" customHeight="1">
      <c r="A111" s="153"/>
      <c r="B111" s="24"/>
      <c r="C111" s="169"/>
      <c r="D111" s="169"/>
      <c r="E111" s="169"/>
      <c r="F111" s="169"/>
      <c r="G111" s="169"/>
      <c r="H111" s="169"/>
      <c r="I111" s="179"/>
      <c r="J111" s="179"/>
      <c r="K111" s="179"/>
      <c r="L111" s="179"/>
      <c r="M111" s="179"/>
      <c r="N111" s="179"/>
      <c r="O111" s="179"/>
    </row>
    <row r="112" ht="14.25" customHeight="1">
      <c r="A112" s="153"/>
      <c r="B112" s="24"/>
      <c r="C112" s="169"/>
      <c r="D112" s="169"/>
      <c r="E112" s="169"/>
      <c r="F112" s="169"/>
      <c r="G112" s="169"/>
      <c r="H112" s="169"/>
      <c r="I112" s="179"/>
      <c r="J112" s="179"/>
      <c r="K112" s="179"/>
      <c r="L112" s="179"/>
      <c r="M112" s="179"/>
      <c r="N112" s="179"/>
      <c r="O112" s="179"/>
    </row>
    <row r="113" ht="14.25" customHeight="1">
      <c r="A113" s="153"/>
      <c r="B113" s="24"/>
      <c r="C113" s="169"/>
      <c r="D113" s="169"/>
      <c r="E113" s="169"/>
      <c r="F113" s="169"/>
      <c r="G113" s="169"/>
      <c r="H113" s="169"/>
      <c r="I113" s="179"/>
      <c r="J113" s="179"/>
      <c r="K113" s="179"/>
      <c r="L113" s="179"/>
      <c r="M113" s="179"/>
      <c r="N113" s="179"/>
      <c r="O113" s="179"/>
    </row>
    <row r="114" ht="14.25" customHeight="1">
      <c r="A114" s="153"/>
      <c r="B114" s="24"/>
      <c r="C114" s="169"/>
      <c r="D114" s="169"/>
      <c r="E114" s="169"/>
      <c r="F114" s="169"/>
      <c r="G114" s="169"/>
      <c r="H114" s="169"/>
      <c r="I114" s="179"/>
      <c r="J114" s="179"/>
      <c r="K114" s="179"/>
      <c r="L114" s="179"/>
      <c r="M114" s="179"/>
      <c r="N114" s="179"/>
      <c r="O114" s="179"/>
    </row>
    <row r="115" ht="14.25" customHeight="1">
      <c r="A115" s="153"/>
      <c r="B115" s="24"/>
      <c r="C115" s="169"/>
      <c r="D115" s="169"/>
      <c r="E115" s="169"/>
      <c r="F115" s="169"/>
      <c r="G115" s="169"/>
      <c r="H115" s="169"/>
      <c r="I115" s="179"/>
      <c r="J115" s="179"/>
      <c r="K115" s="179"/>
      <c r="L115" s="179"/>
      <c r="M115" s="179"/>
      <c r="N115" s="179"/>
      <c r="O115" s="179"/>
    </row>
    <row r="116" ht="14.25" customHeight="1">
      <c r="A116" s="153"/>
      <c r="B116" s="24"/>
      <c r="C116" s="169"/>
      <c r="D116" s="169"/>
      <c r="E116" s="169"/>
      <c r="F116" s="169"/>
      <c r="G116" s="169"/>
      <c r="H116" s="169"/>
      <c r="I116" s="179"/>
      <c r="J116" s="179"/>
      <c r="K116" s="179"/>
      <c r="L116" s="179"/>
      <c r="M116" s="179"/>
      <c r="N116" s="179"/>
      <c r="O116" s="179"/>
    </row>
    <row r="117" ht="14.25" customHeight="1">
      <c r="A117" s="153"/>
      <c r="B117" s="24"/>
      <c r="C117" s="169"/>
      <c r="D117" s="169"/>
      <c r="E117" s="169"/>
      <c r="F117" s="169"/>
      <c r="G117" s="169"/>
      <c r="H117" s="169"/>
      <c r="I117" s="179"/>
      <c r="J117" s="179"/>
      <c r="K117" s="179"/>
      <c r="L117" s="179"/>
      <c r="M117" s="179"/>
      <c r="N117" s="179"/>
      <c r="O117" s="179"/>
    </row>
    <row r="118" ht="14.25" customHeight="1">
      <c r="A118" s="153"/>
      <c r="B118" s="24"/>
      <c r="C118" s="169"/>
      <c r="D118" s="169"/>
      <c r="E118" s="169"/>
      <c r="F118" s="169"/>
      <c r="G118" s="169"/>
      <c r="H118" s="169"/>
      <c r="I118" s="179"/>
      <c r="J118" s="179"/>
      <c r="K118" s="179"/>
      <c r="L118" s="179"/>
      <c r="M118" s="179"/>
      <c r="N118" s="179"/>
      <c r="O118" s="179"/>
    </row>
    <row r="119" ht="14.25" customHeight="1">
      <c r="A119" s="153"/>
      <c r="B119" s="24"/>
      <c r="C119" s="169"/>
      <c r="D119" s="169"/>
      <c r="E119" s="169"/>
      <c r="F119" s="169"/>
      <c r="G119" s="169"/>
      <c r="H119" s="169"/>
      <c r="I119" s="179"/>
      <c r="J119" s="179"/>
      <c r="K119" s="179"/>
      <c r="L119" s="179"/>
      <c r="M119" s="179"/>
      <c r="N119" s="179"/>
      <c r="O119" s="179"/>
    </row>
    <row r="120" ht="14.25" customHeight="1">
      <c r="A120" s="153"/>
      <c r="B120" s="24"/>
      <c r="C120" s="169"/>
      <c r="D120" s="169"/>
      <c r="E120" s="169"/>
      <c r="F120" s="169"/>
      <c r="G120" s="169"/>
      <c r="H120" s="169"/>
      <c r="I120" s="179"/>
      <c r="J120" s="179"/>
      <c r="K120" s="179"/>
      <c r="L120" s="179"/>
      <c r="M120" s="179"/>
      <c r="N120" s="179"/>
      <c r="O120" s="179"/>
    </row>
    <row r="121" ht="14.25" customHeight="1">
      <c r="A121" s="153"/>
      <c r="B121" s="24"/>
      <c r="C121" s="169"/>
      <c r="D121" s="169"/>
      <c r="E121" s="169"/>
      <c r="F121" s="169"/>
      <c r="G121" s="169"/>
      <c r="H121" s="169"/>
      <c r="I121" s="179"/>
      <c r="J121" s="179"/>
      <c r="K121" s="179"/>
      <c r="L121" s="179"/>
      <c r="M121" s="179"/>
      <c r="N121" s="179"/>
      <c r="O121" s="179"/>
    </row>
    <row r="122" ht="14.25" customHeight="1">
      <c r="A122" s="153"/>
      <c r="B122" s="24"/>
      <c r="C122" s="169"/>
      <c r="D122" s="169"/>
      <c r="E122" s="169"/>
      <c r="F122" s="169"/>
      <c r="G122" s="169"/>
      <c r="H122" s="169"/>
      <c r="I122" s="179"/>
      <c r="J122" s="179"/>
      <c r="K122" s="179"/>
      <c r="L122" s="179"/>
      <c r="M122" s="179"/>
      <c r="N122" s="179"/>
      <c r="O122" s="179"/>
    </row>
    <row r="123" ht="14.25" customHeight="1">
      <c r="A123" s="153"/>
      <c r="B123" s="24"/>
      <c r="C123" s="169"/>
      <c r="D123" s="169"/>
      <c r="E123" s="169"/>
      <c r="F123" s="169"/>
      <c r="G123" s="169"/>
      <c r="H123" s="169"/>
      <c r="I123" s="179"/>
      <c r="J123" s="179"/>
      <c r="K123" s="179"/>
      <c r="L123" s="179"/>
      <c r="M123" s="179"/>
      <c r="N123" s="179"/>
      <c r="O123" s="179"/>
    </row>
    <row r="124" ht="14.25" customHeight="1">
      <c r="A124" s="153"/>
      <c r="B124" s="24"/>
      <c r="C124" s="169"/>
      <c r="D124" s="169"/>
      <c r="E124" s="169"/>
      <c r="F124" s="169"/>
      <c r="G124" s="169"/>
      <c r="H124" s="169"/>
      <c r="I124" s="179"/>
      <c r="J124" s="179"/>
      <c r="K124" s="179"/>
      <c r="L124" s="179"/>
      <c r="M124" s="179"/>
      <c r="N124" s="179"/>
      <c r="O124" s="179"/>
    </row>
    <row r="125" ht="14.25" customHeight="1">
      <c r="A125" s="153"/>
      <c r="B125" s="24"/>
      <c r="C125" s="169"/>
      <c r="D125" s="169"/>
      <c r="E125" s="169"/>
      <c r="F125" s="169"/>
      <c r="G125" s="169"/>
      <c r="H125" s="169"/>
      <c r="I125" s="179"/>
      <c r="J125" s="179"/>
      <c r="K125" s="179"/>
      <c r="L125" s="179"/>
      <c r="M125" s="179"/>
      <c r="N125" s="179"/>
      <c r="O125" s="179"/>
    </row>
    <row r="126" ht="14.25" customHeight="1">
      <c r="A126" s="153"/>
      <c r="B126" s="24"/>
      <c r="C126" s="169"/>
      <c r="D126" s="169"/>
      <c r="E126" s="169"/>
      <c r="F126" s="169"/>
      <c r="G126" s="169"/>
      <c r="H126" s="169"/>
      <c r="I126" s="179"/>
      <c r="J126" s="179"/>
      <c r="K126" s="179"/>
      <c r="L126" s="179"/>
      <c r="M126" s="179"/>
      <c r="N126" s="179"/>
      <c r="O126" s="179"/>
    </row>
    <row r="127" ht="14.25" customHeight="1">
      <c r="A127" s="153"/>
      <c r="B127" s="24"/>
      <c r="C127" s="169"/>
      <c r="D127" s="169"/>
      <c r="E127" s="169"/>
      <c r="F127" s="169"/>
      <c r="G127" s="169"/>
      <c r="H127" s="169"/>
      <c r="I127" s="179"/>
      <c r="J127" s="179"/>
      <c r="K127" s="179"/>
      <c r="L127" s="179"/>
      <c r="M127" s="179"/>
      <c r="N127" s="179"/>
      <c r="O127" s="179"/>
    </row>
    <row r="128" ht="14.25" customHeight="1">
      <c r="A128" s="153"/>
      <c r="B128" s="24"/>
      <c r="C128" s="169"/>
      <c r="D128" s="169"/>
      <c r="E128" s="169"/>
      <c r="F128" s="169"/>
      <c r="G128" s="169"/>
      <c r="H128" s="169"/>
      <c r="I128" s="179"/>
      <c r="J128" s="179"/>
      <c r="K128" s="179"/>
      <c r="L128" s="179"/>
      <c r="M128" s="179"/>
      <c r="N128" s="179"/>
      <c r="O128" s="179"/>
    </row>
    <row r="129" ht="14.25" customHeight="1">
      <c r="A129" s="153"/>
      <c r="B129" s="24"/>
      <c r="C129" s="169"/>
      <c r="D129" s="169"/>
      <c r="E129" s="169"/>
      <c r="F129" s="169"/>
      <c r="G129" s="169"/>
      <c r="H129" s="169"/>
      <c r="I129" s="179"/>
      <c r="J129" s="179"/>
      <c r="K129" s="179"/>
      <c r="L129" s="179"/>
      <c r="M129" s="179"/>
      <c r="N129" s="179"/>
      <c r="O129" s="179"/>
    </row>
    <row r="130" ht="14.25" customHeight="1">
      <c r="A130" s="153"/>
      <c r="B130" s="24"/>
      <c r="C130" s="169"/>
      <c r="D130" s="169"/>
      <c r="E130" s="169"/>
      <c r="F130" s="169"/>
      <c r="G130" s="169"/>
      <c r="H130" s="169"/>
      <c r="I130" s="179"/>
      <c r="J130" s="179"/>
      <c r="K130" s="179"/>
      <c r="L130" s="179"/>
      <c r="M130" s="179"/>
      <c r="N130" s="179"/>
      <c r="O130" s="179"/>
    </row>
    <row r="131" ht="14.25" customHeight="1">
      <c r="A131" s="153"/>
      <c r="B131" s="24"/>
      <c r="C131" s="169"/>
      <c r="D131" s="169"/>
      <c r="E131" s="169"/>
      <c r="F131" s="169"/>
      <c r="G131" s="169"/>
      <c r="H131" s="169"/>
      <c r="I131" s="179"/>
      <c r="J131" s="179"/>
      <c r="K131" s="179"/>
      <c r="L131" s="179"/>
      <c r="M131" s="179"/>
      <c r="N131" s="179"/>
      <c r="O131" s="179"/>
    </row>
    <row r="132" ht="14.25" customHeight="1">
      <c r="A132" s="153"/>
      <c r="B132" s="24"/>
      <c r="C132" s="169"/>
      <c r="D132" s="169"/>
      <c r="E132" s="169"/>
      <c r="F132" s="169"/>
      <c r="G132" s="169"/>
      <c r="H132" s="169"/>
      <c r="I132" s="179"/>
      <c r="J132" s="179"/>
      <c r="K132" s="179"/>
      <c r="L132" s="179"/>
      <c r="M132" s="179"/>
      <c r="N132" s="179"/>
      <c r="O132" s="179"/>
    </row>
    <row r="133" ht="14.25" customHeight="1">
      <c r="A133" s="153"/>
      <c r="B133" s="24"/>
      <c r="C133" s="169"/>
      <c r="D133" s="169"/>
      <c r="E133" s="169"/>
      <c r="F133" s="169"/>
      <c r="G133" s="169"/>
      <c r="H133" s="169"/>
      <c r="I133" s="179"/>
      <c r="J133" s="179"/>
      <c r="K133" s="179"/>
      <c r="L133" s="179"/>
      <c r="M133" s="179"/>
      <c r="N133" s="179"/>
      <c r="O133" s="179"/>
    </row>
    <row r="134" ht="14.25" customHeight="1">
      <c r="A134" s="153"/>
      <c r="B134" s="24"/>
      <c r="C134" s="169"/>
      <c r="D134" s="169"/>
      <c r="E134" s="169"/>
      <c r="F134" s="169"/>
      <c r="G134" s="169"/>
      <c r="H134" s="169"/>
      <c r="I134" s="179"/>
      <c r="J134" s="179"/>
      <c r="K134" s="179"/>
      <c r="L134" s="179"/>
      <c r="M134" s="179"/>
      <c r="N134" s="179"/>
      <c r="O134" s="179"/>
    </row>
    <row r="135" ht="14.25" customHeight="1">
      <c r="A135" s="153"/>
      <c r="B135" s="24"/>
      <c r="C135" s="169"/>
      <c r="D135" s="169"/>
      <c r="E135" s="169"/>
      <c r="F135" s="169"/>
      <c r="G135" s="169"/>
      <c r="H135" s="169"/>
      <c r="I135" s="179"/>
      <c r="J135" s="179"/>
      <c r="K135" s="179"/>
      <c r="L135" s="179"/>
      <c r="M135" s="179"/>
      <c r="N135" s="179"/>
      <c r="O135" s="179"/>
    </row>
    <row r="136" ht="14.25" customHeight="1">
      <c r="A136" s="153"/>
      <c r="B136" s="24"/>
      <c r="C136" s="169"/>
      <c r="D136" s="169"/>
      <c r="E136" s="169"/>
      <c r="F136" s="169"/>
      <c r="G136" s="169"/>
      <c r="H136" s="169"/>
      <c r="I136" s="179"/>
      <c r="J136" s="179"/>
      <c r="K136" s="179"/>
      <c r="L136" s="179"/>
      <c r="M136" s="179"/>
      <c r="N136" s="179"/>
      <c r="O136" s="179"/>
    </row>
    <row r="137" ht="14.25" customHeight="1">
      <c r="A137" s="153"/>
      <c r="B137" s="24"/>
      <c r="C137" s="169"/>
      <c r="D137" s="169"/>
      <c r="E137" s="169"/>
      <c r="F137" s="169"/>
      <c r="G137" s="169"/>
      <c r="H137" s="169"/>
      <c r="I137" s="179"/>
      <c r="J137" s="179"/>
      <c r="K137" s="179"/>
      <c r="L137" s="179"/>
      <c r="M137" s="179"/>
      <c r="N137" s="179"/>
      <c r="O137" s="179"/>
    </row>
    <row r="138" ht="14.25" customHeight="1">
      <c r="A138" s="153"/>
      <c r="B138" s="24"/>
      <c r="C138" s="169"/>
      <c r="D138" s="169"/>
      <c r="E138" s="169"/>
      <c r="F138" s="169"/>
      <c r="G138" s="169"/>
      <c r="H138" s="169"/>
      <c r="I138" s="179"/>
      <c r="J138" s="179"/>
      <c r="K138" s="179"/>
      <c r="L138" s="179"/>
      <c r="M138" s="179"/>
      <c r="N138" s="179"/>
      <c r="O138" s="179"/>
    </row>
    <row r="139" ht="14.25" customHeight="1">
      <c r="A139" s="153"/>
      <c r="B139" s="24"/>
      <c r="C139" s="169"/>
      <c r="D139" s="169"/>
      <c r="E139" s="169"/>
      <c r="F139" s="169"/>
      <c r="G139" s="169"/>
      <c r="H139" s="169"/>
      <c r="I139" s="179"/>
      <c r="J139" s="179"/>
      <c r="K139" s="179"/>
      <c r="L139" s="179"/>
      <c r="M139" s="179"/>
      <c r="N139" s="179"/>
      <c r="O139" s="179"/>
    </row>
    <row r="140" ht="14.25" customHeight="1">
      <c r="A140" s="153"/>
      <c r="B140" s="24"/>
      <c r="C140" s="169"/>
      <c r="D140" s="169"/>
      <c r="E140" s="169"/>
      <c r="F140" s="169"/>
      <c r="G140" s="169"/>
      <c r="H140" s="169"/>
      <c r="I140" s="179"/>
      <c r="J140" s="179"/>
      <c r="K140" s="179"/>
      <c r="L140" s="179"/>
      <c r="M140" s="179"/>
      <c r="N140" s="179"/>
      <c r="O140" s="179"/>
    </row>
    <row r="141" ht="14.25" customHeight="1">
      <c r="A141" s="153"/>
      <c r="B141" s="24"/>
      <c r="C141" s="169"/>
      <c r="D141" s="169"/>
      <c r="E141" s="169"/>
      <c r="F141" s="169"/>
      <c r="G141" s="169"/>
      <c r="H141" s="169"/>
      <c r="I141" s="179"/>
      <c r="J141" s="179"/>
      <c r="K141" s="179"/>
      <c r="L141" s="179"/>
      <c r="M141" s="179"/>
      <c r="N141" s="179"/>
      <c r="O141" s="179"/>
    </row>
    <row r="142" ht="14.25" customHeight="1">
      <c r="A142" s="153"/>
      <c r="B142" s="24"/>
      <c r="C142" s="169"/>
      <c r="D142" s="169"/>
      <c r="E142" s="169"/>
      <c r="F142" s="169"/>
      <c r="G142" s="169"/>
      <c r="H142" s="169"/>
      <c r="I142" s="179"/>
      <c r="J142" s="179"/>
      <c r="K142" s="179"/>
      <c r="L142" s="179"/>
      <c r="M142" s="179"/>
      <c r="N142" s="179"/>
      <c r="O142" s="179"/>
    </row>
    <row r="143" ht="14.25" customHeight="1">
      <c r="A143" s="153"/>
      <c r="B143" s="24"/>
      <c r="C143" s="169"/>
      <c r="D143" s="169"/>
      <c r="E143" s="169"/>
      <c r="F143" s="169"/>
      <c r="G143" s="169"/>
      <c r="H143" s="169"/>
      <c r="I143" s="179"/>
      <c r="J143" s="179"/>
      <c r="K143" s="179"/>
      <c r="L143" s="179"/>
      <c r="M143" s="179"/>
      <c r="N143" s="179"/>
      <c r="O143" s="179"/>
    </row>
    <row r="144" ht="14.25" customHeight="1">
      <c r="A144" s="153"/>
      <c r="B144" s="24"/>
      <c r="C144" s="169"/>
      <c r="D144" s="169"/>
      <c r="E144" s="169"/>
      <c r="F144" s="169"/>
      <c r="G144" s="169"/>
      <c r="H144" s="169"/>
      <c r="I144" s="179"/>
      <c r="J144" s="179"/>
      <c r="K144" s="179"/>
      <c r="L144" s="179"/>
      <c r="M144" s="179"/>
      <c r="N144" s="179"/>
      <c r="O144" s="179"/>
    </row>
    <row r="145" ht="14.25" customHeight="1">
      <c r="A145" s="153"/>
      <c r="B145" s="24"/>
      <c r="C145" s="169"/>
      <c r="D145" s="169"/>
      <c r="E145" s="169"/>
      <c r="F145" s="169"/>
      <c r="G145" s="169"/>
      <c r="H145" s="169"/>
      <c r="I145" s="179"/>
      <c r="J145" s="179"/>
      <c r="K145" s="179"/>
      <c r="L145" s="179"/>
      <c r="M145" s="179"/>
      <c r="N145" s="179"/>
      <c r="O145" s="179"/>
    </row>
    <row r="146" ht="14.25" customHeight="1">
      <c r="A146" s="153"/>
      <c r="B146" s="24"/>
      <c r="C146" s="169"/>
      <c r="D146" s="169"/>
      <c r="E146" s="169"/>
      <c r="F146" s="169"/>
      <c r="G146" s="169"/>
      <c r="H146" s="169"/>
      <c r="I146" s="179"/>
      <c r="J146" s="179"/>
      <c r="K146" s="179"/>
      <c r="L146" s="179"/>
      <c r="M146" s="179"/>
      <c r="N146" s="179"/>
      <c r="O146" s="179"/>
    </row>
    <row r="147" ht="14.25" customHeight="1">
      <c r="A147" s="153"/>
      <c r="B147" s="24"/>
      <c r="C147" s="169"/>
      <c r="D147" s="169"/>
      <c r="E147" s="169"/>
      <c r="F147" s="169"/>
      <c r="G147" s="169"/>
      <c r="H147" s="169"/>
      <c r="I147" s="179"/>
      <c r="J147" s="179"/>
      <c r="K147" s="179"/>
      <c r="L147" s="179"/>
      <c r="M147" s="179"/>
      <c r="N147" s="179"/>
      <c r="O147" s="179"/>
    </row>
    <row r="148" ht="14.25" customHeight="1">
      <c r="A148" s="153"/>
      <c r="B148" s="24"/>
      <c r="C148" s="169"/>
      <c r="D148" s="169"/>
      <c r="E148" s="169"/>
      <c r="F148" s="169"/>
      <c r="G148" s="169"/>
      <c r="H148" s="169"/>
      <c r="I148" s="179"/>
      <c r="J148" s="179"/>
      <c r="K148" s="179"/>
      <c r="L148" s="179"/>
      <c r="M148" s="179"/>
      <c r="N148" s="179"/>
      <c r="O148" s="179"/>
    </row>
    <row r="149" ht="14.25" customHeight="1">
      <c r="A149" s="153"/>
      <c r="B149" s="24"/>
      <c r="C149" s="169"/>
      <c r="D149" s="169"/>
      <c r="E149" s="169"/>
      <c r="F149" s="169"/>
      <c r="G149" s="169"/>
      <c r="H149" s="169"/>
      <c r="I149" s="179"/>
      <c r="J149" s="179"/>
      <c r="K149" s="179"/>
      <c r="L149" s="179"/>
      <c r="M149" s="179"/>
      <c r="N149" s="179"/>
      <c r="O149" s="179"/>
    </row>
    <row r="150" ht="14.25" customHeight="1">
      <c r="A150" s="153"/>
      <c r="B150" s="24"/>
      <c r="C150" s="169"/>
      <c r="D150" s="169"/>
      <c r="E150" s="169"/>
      <c r="F150" s="169"/>
      <c r="G150" s="169"/>
      <c r="H150" s="169"/>
      <c r="I150" s="179"/>
      <c r="J150" s="179"/>
      <c r="K150" s="179"/>
      <c r="L150" s="179"/>
      <c r="M150" s="179"/>
      <c r="N150" s="179"/>
      <c r="O150" s="179"/>
    </row>
    <row r="151" ht="14.25" customHeight="1">
      <c r="A151" s="153"/>
      <c r="B151" s="24"/>
      <c r="C151" s="169"/>
      <c r="D151" s="169"/>
      <c r="E151" s="169"/>
      <c r="F151" s="169"/>
      <c r="G151" s="169"/>
      <c r="H151" s="169"/>
      <c r="I151" s="179"/>
      <c r="J151" s="179"/>
      <c r="K151" s="179"/>
      <c r="L151" s="179"/>
      <c r="M151" s="179"/>
      <c r="N151" s="179"/>
      <c r="O151" s="179"/>
    </row>
    <row r="152" ht="14.25" customHeight="1">
      <c r="A152" s="153"/>
      <c r="B152" s="24"/>
      <c r="C152" s="169"/>
      <c r="D152" s="169"/>
      <c r="E152" s="169"/>
      <c r="F152" s="169"/>
      <c r="G152" s="169"/>
      <c r="H152" s="169"/>
      <c r="I152" s="179"/>
      <c r="J152" s="179"/>
      <c r="K152" s="179"/>
      <c r="L152" s="179"/>
      <c r="M152" s="179"/>
      <c r="N152" s="179"/>
      <c r="O152" s="179"/>
    </row>
    <row r="153" ht="14.25" customHeight="1">
      <c r="A153" s="153"/>
      <c r="B153" s="24"/>
      <c r="C153" s="169"/>
      <c r="D153" s="169"/>
      <c r="E153" s="169"/>
      <c r="F153" s="169"/>
      <c r="G153" s="169"/>
      <c r="H153" s="169"/>
      <c r="I153" s="179"/>
      <c r="J153" s="179"/>
      <c r="K153" s="179"/>
      <c r="L153" s="179"/>
      <c r="M153" s="179"/>
      <c r="N153" s="179"/>
      <c r="O153" s="179"/>
    </row>
    <row r="154" ht="14.25" customHeight="1">
      <c r="A154" s="153"/>
      <c r="B154" s="24"/>
      <c r="C154" s="169"/>
      <c r="D154" s="169"/>
      <c r="E154" s="169"/>
      <c r="F154" s="169"/>
      <c r="G154" s="169"/>
      <c r="H154" s="169"/>
      <c r="I154" s="179"/>
      <c r="J154" s="179"/>
      <c r="K154" s="179"/>
      <c r="L154" s="179"/>
      <c r="M154" s="179"/>
      <c r="N154" s="179"/>
      <c r="O154" s="179"/>
    </row>
    <row r="155" ht="14.25" customHeight="1">
      <c r="A155" s="153"/>
      <c r="B155" s="24"/>
      <c r="C155" s="169"/>
      <c r="D155" s="169"/>
      <c r="E155" s="169"/>
      <c r="F155" s="169"/>
      <c r="G155" s="169"/>
      <c r="H155" s="169"/>
      <c r="I155" s="179"/>
      <c r="J155" s="179"/>
      <c r="K155" s="179"/>
      <c r="L155" s="179"/>
      <c r="M155" s="179"/>
      <c r="N155" s="179"/>
      <c r="O155" s="179"/>
    </row>
    <row r="156" ht="14.25" customHeight="1">
      <c r="A156" s="153"/>
      <c r="B156" s="24"/>
      <c r="C156" s="169"/>
      <c r="D156" s="169"/>
      <c r="E156" s="169"/>
      <c r="F156" s="169"/>
      <c r="G156" s="169"/>
      <c r="H156" s="169"/>
      <c r="I156" s="179"/>
      <c r="J156" s="179"/>
      <c r="K156" s="179"/>
      <c r="L156" s="179"/>
      <c r="M156" s="179"/>
      <c r="N156" s="179"/>
      <c r="O156" s="179"/>
    </row>
    <row r="157" ht="14.25" customHeight="1">
      <c r="A157" s="153"/>
      <c r="B157" s="24"/>
      <c r="C157" s="169"/>
      <c r="D157" s="169"/>
      <c r="E157" s="169"/>
      <c r="F157" s="169"/>
      <c r="G157" s="169"/>
      <c r="H157" s="169"/>
      <c r="I157" s="179"/>
      <c r="J157" s="179"/>
      <c r="K157" s="179"/>
      <c r="L157" s="179"/>
      <c r="M157" s="179"/>
      <c r="N157" s="179"/>
      <c r="O157" s="179"/>
    </row>
    <row r="158" ht="14.25" customHeight="1">
      <c r="A158" s="153"/>
      <c r="B158" s="24"/>
      <c r="C158" s="169"/>
      <c r="D158" s="169"/>
      <c r="E158" s="169"/>
      <c r="F158" s="169"/>
      <c r="G158" s="169"/>
      <c r="H158" s="169"/>
      <c r="I158" s="179"/>
      <c r="J158" s="179"/>
      <c r="K158" s="179"/>
      <c r="L158" s="179"/>
      <c r="M158" s="179"/>
      <c r="N158" s="179"/>
      <c r="O158" s="179"/>
    </row>
    <row r="159" ht="14.25" customHeight="1">
      <c r="A159" s="153"/>
      <c r="B159" s="24"/>
      <c r="C159" s="169"/>
      <c r="D159" s="169"/>
      <c r="E159" s="169"/>
      <c r="F159" s="169"/>
      <c r="G159" s="169"/>
      <c r="H159" s="169"/>
      <c r="I159" s="179"/>
      <c r="J159" s="179"/>
      <c r="K159" s="179"/>
      <c r="L159" s="179"/>
      <c r="M159" s="179"/>
      <c r="N159" s="179"/>
      <c r="O159" s="179"/>
    </row>
    <row r="160" ht="14.25" customHeight="1">
      <c r="A160" s="153"/>
      <c r="B160" s="24"/>
      <c r="C160" s="169"/>
      <c r="D160" s="169"/>
      <c r="E160" s="169"/>
      <c r="F160" s="169"/>
      <c r="G160" s="169"/>
      <c r="H160" s="169"/>
      <c r="I160" s="179"/>
      <c r="J160" s="179"/>
      <c r="K160" s="179"/>
      <c r="L160" s="179"/>
      <c r="M160" s="179"/>
      <c r="N160" s="179"/>
      <c r="O160" s="179"/>
    </row>
    <row r="161" ht="14.25" customHeight="1">
      <c r="A161" s="153"/>
      <c r="B161" s="24"/>
      <c r="C161" s="169"/>
      <c r="D161" s="169"/>
      <c r="E161" s="169"/>
      <c r="F161" s="169"/>
      <c r="G161" s="169"/>
      <c r="H161" s="169"/>
      <c r="I161" s="179"/>
      <c r="J161" s="179"/>
      <c r="K161" s="179"/>
      <c r="L161" s="179"/>
      <c r="M161" s="179"/>
      <c r="N161" s="179"/>
      <c r="O161" s="179"/>
    </row>
    <row r="162" ht="14.25" customHeight="1">
      <c r="A162" s="153"/>
      <c r="B162" s="24"/>
      <c r="C162" s="169"/>
      <c r="D162" s="169"/>
      <c r="E162" s="169"/>
      <c r="F162" s="169"/>
      <c r="G162" s="169"/>
      <c r="H162" s="169"/>
      <c r="I162" s="179"/>
      <c r="J162" s="179"/>
      <c r="K162" s="179"/>
      <c r="L162" s="179"/>
      <c r="M162" s="179"/>
      <c r="N162" s="179"/>
      <c r="O162" s="179"/>
    </row>
    <row r="163" ht="14.25" customHeight="1">
      <c r="A163" s="153"/>
      <c r="B163" s="24"/>
      <c r="C163" s="169"/>
      <c r="D163" s="169"/>
      <c r="E163" s="169"/>
      <c r="F163" s="169"/>
      <c r="G163" s="169"/>
      <c r="H163" s="169"/>
      <c r="I163" s="179"/>
      <c r="J163" s="179"/>
      <c r="K163" s="179"/>
      <c r="L163" s="179"/>
      <c r="M163" s="179"/>
      <c r="N163" s="179"/>
      <c r="O163" s="179"/>
    </row>
    <row r="164" ht="14.25" customHeight="1">
      <c r="A164" s="153"/>
      <c r="B164" s="24"/>
      <c r="C164" s="169"/>
      <c r="D164" s="169"/>
      <c r="E164" s="169"/>
      <c r="F164" s="169"/>
      <c r="G164" s="169"/>
      <c r="H164" s="169"/>
      <c r="I164" s="179"/>
      <c r="J164" s="179"/>
      <c r="K164" s="179"/>
      <c r="L164" s="179"/>
      <c r="M164" s="179"/>
      <c r="N164" s="179"/>
      <c r="O164" s="179"/>
    </row>
    <row r="165" ht="14.25" customHeight="1">
      <c r="A165" s="153"/>
      <c r="B165" s="24"/>
      <c r="C165" s="169"/>
      <c r="D165" s="169"/>
      <c r="E165" s="169"/>
      <c r="F165" s="169"/>
      <c r="G165" s="169"/>
      <c r="H165" s="169"/>
      <c r="I165" s="179"/>
      <c r="J165" s="179"/>
      <c r="K165" s="179"/>
      <c r="L165" s="179"/>
      <c r="M165" s="179"/>
      <c r="N165" s="179"/>
      <c r="O165" s="179"/>
    </row>
    <row r="166" ht="14.25" customHeight="1">
      <c r="A166" s="153"/>
      <c r="B166" s="24"/>
      <c r="C166" s="169"/>
      <c r="D166" s="169"/>
      <c r="E166" s="169"/>
      <c r="F166" s="169"/>
      <c r="G166" s="169"/>
      <c r="H166" s="169"/>
      <c r="I166" s="179"/>
      <c r="J166" s="179"/>
      <c r="K166" s="179"/>
      <c r="L166" s="179"/>
      <c r="M166" s="179"/>
      <c r="N166" s="179"/>
      <c r="O166" s="179"/>
    </row>
    <row r="167" ht="14.25" customHeight="1">
      <c r="A167" s="153"/>
      <c r="B167" s="24"/>
      <c r="C167" s="169"/>
      <c r="D167" s="169"/>
      <c r="E167" s="169"/>
      <c r="F167" s="169"/>
      <c r="G167" s="169"/>
      <c r="H167" s="169"/>
      <c r="I167" s="179"/>
      <c r="J167" s="179"/>
      <c r="K167" s="179"/>
      <c r="L167" s="179"/>
      <c r="M167" s="179"/>
      <c r="N167" s="179"/>
      <c r="O167" s="179"/>
    </row>
    <row r="168" ht="14.25" customHeight="1">
      <c r="A168" s="153"/>
      <c r="B168" s="24"/>
      <c r="C168" s="169"/>
      <c r="D168" s="169"/>
      <c r="E168" s="169"/>
      <c r="F168" s="169"/>
      <c r="G168" s="169"/>
      <c r="H168" s="169"/>
      <c r="I168" s="179"/>
      <c r="J168" s="179"/>
      <c r="K168" s="179"/>
      <c r="L168" s="179"/>
      <c r="M168" s="179"/>
      <c r="N168" s="179"/>
      <c r="O168" s="179"/>
    </row>
    <row r="169" ht="14.25" customHeight="1">
      <c r="A169" s="153"/>
      <c r="B169" s="24"/>
      <c r="C169" s="169"/>
      <c r="D169" s="169"/>
      <c r="E169" s="169"/>
      <c r="F169" s="169"/>
      <c r="G169" s="169"/>
      <c r="H169" s="169"/>
      <c r="I169" s="179"/>
      <c r="J169" s="179"/>
      <c r="K169" s="179"/>
      <c r="L169" s="179"/>
      <c r="M169" s="179"/>
      <c r="N169" s="179"/>
      <c r="O169" s="179"/>
    </row>
    <row r="170" ht="14.25" customHeight="1">
      <c r="A170" s="153"/>
      <c r="B170" s="24"/>
      <c r="C170" s="169"/>
      <c r="D170" s="169"/>
      <c r="E170" s="169"/>
      <c r="F170" s="169"/>
      <c r="G170" s="169"/>
      <c r="H170" s="169"/>
      <c r="I170" s="179"/>
      <c r="J170" s="179"/>
      <c r="K170" s="179"/>
      <c r="L170" s="179"/>
      <c r="M170" s="179"/>
      <c r="N170" s="179"/>
      <c r="O170" s="179"/>
    </row>
    <row r="171" ht="14.25" customHeight="1">
      <c r="A171" s="153"/>
      <c r="B171" s="24"/>
      <c r="C171" s="169"/>
      <c r="D171" s="169"/>
      <c r="E171" s="169"/>
      <c r="F171" s="169"/>
      <c r="G171" s="169"/>
      <c r="H171" s="169"/>
      <c r="I171" s="179"/>
      <c r="J171" s="179"/>
      <c r="K171" s="179"/>
      <c r="L171" s="179"/>
      <c r="M171" s="179"/>
      <c r="N171" s="179"/>
      <c r="O171" s="179"/>
    </row>
    <row r="172" ht="14.25" customHeight="1">
      <c r="A172" s="153"/>
      <c r="B172" s="24"/>
      <c r="C172" s="169"/>
      <c r="D172" s="169"/>
      <c r="E172" s="169"/>
      <c r="F172" s="169"/>
      <c r="G172" s="169"/>
      <c r="H172" s="169"/>
      <c r="I172" s="179"/>
      <c r="J172" s="179"/>
      <c r="K172" s="179"/>
      <c r="L172" s="179"/>
      <c r="M172" s="179"/>
      <c r="N172" s="179"/>
      <c r="O172" s="179"/>
    </row>
    <row r="173" ht="14.25" customHeight="1">
      <c r="A173" s="153"/>
      <c r="B173" s="24"/>
      <c r="C173" s="169"/>
      <c r="D173" s="169"/>
      <c r="E173" s="169"/>
      <c r="F173" s="169"/>
      <c r="G173" s="169"/>
      <c r="H173" s="169"/>
      <c r="I173" s="179"/>
      <c r="J173" s="179"/>
      <c r="K173" s="179"/>
      <c r="L173" s="179"/>
      <c r="M173" s="179"/>
      <c r="N173" s="179"/>
      <c r="O173" s="179"/>
    </row>
    <row r="174" ht="14.25" customHeight="1">
      <c r="A174" s="153"/>
      <c r="B174" s="24"/>
      <c r="C174" s="169"/>
      <c r="D174" s="169"/>
      <c r="E174" s="169"/>
      <c r="F174" s="169"/>
      <c r="G174" s="169"/>
      <c r="H174" s="169"/>
      <c r="I174" s="179"/>
      <c r="J174" s="179"/>
      <c r="K174" s="179"/>
      <c r="L174" s="179"/>
      <c r="M174" s="179"/>
      <c r="N174" s="179"/>
      <c r="O174" s="179"/>
    </row>
    <row r="175" ht="14.25" customHeight="1">
      <c r="A175" s="153"/>
      <c r="B175" s="24"/>
      <c r="C175" s="169"/>
      <c r="D175" s="169"/>
      <c r="E175" s="169"/>
      <c r="F175" s="169"/>
      <c r="G175" s="169"/>
      <c r="H175" s="169"/>
      <c r="I175" s="179"/>
      <c r="J175" s="179"/>
      <c r="K175" s="179"/>
      <c r="L175" s="179"/>
      <c r="M175" s="179"/>
      <c r="N175" s="179"/>
      <c r="O175" s="179"/>
    </row>
    <row r="176" ht="14.25" customHeight="1">
      <c r="A176" s="153"/>
      <c r="B176" s="24"/>
      <c r="C176" s="169"/>
      <c r="D176" s="169"/>
      <c r="E176" s="169"/>
      <c r="F176" s="169"/>
      <c r="G176" s="169"/>
      <c r="H176" s="169"/>
      <c r="I176" s="179"/>
      <c r="J176" s="179"/>
      <c r="K176" s="179"/>
      <c r="L176" s="179"/>
      <c r="M176" s="179"/>
      <c r="N176" s="179"/>
      <c r="O176" s="179"/>
    </row>
    <row r="177" ht="14.25" customHeight="1">
      <c r="A177" s="153"/>
      <c r="B177" s="24"/>
      <c r="C177" s="169"/>
      <c r="D177" s="169"/>
      <c r="E177" s="169"/>
      <c r="F177" s="169"/>
      <c r="G177" s="169"/>
      <c r="H177" s="169"/>
      <c r="I177" s="179"/>
      <c r="J177" s="179"/>
      <c r="K177" s="179"/>
      <c r="L177" s="179"/>
      <c r="M177" s="179"/>
      <c r="N177" s="179"/>
      <c r="O177" s="179"/>
    </row>
    <row r="178" ht="14.25" customHeight="1">
      <c r="A178" s="153"/>
      <c r="B178" s="24"/>
      <c r="C178" s="169"/>
      <c r="D178" s="169"/>
      <c r="E178" s="169"/>
      <c r="F178" s="169"/>
      <c r="G178" s="169"/>
      <c r="H178" s="169"/>
      <c r="I178" s="179"/>
      <c r="J178" s="179"/>
      <c r="K178" s="179"/>
      <c r="L178" s="179"/>
      <c r="M178" s="179"/>
      <c r="N178" s="179"/>
      <c r="O178" s="179"/>
    </row>
    <row r="179" ht="14.25" customHeight="1">
      <c r="A179" s="153"/>
      <c r="B179" s="24"/>
      <c r="C179" s="169"/>
      <c r="D179" s="169"/>
      <c r="E179" s="169"/>
      <c r="F179" s="169"/>
      <c r="G179" s="169"/>
      <c r="H179" s="169"/>
      <c r="I179" s="179"/>
      <c r="J179" s="179"/>
      <c r="K179" s="179"/>
      <c r="L179" s="179"/>
      <c r="M179" s="179"/>
      <c r="N179" s="179"/>
      <c r="O179" s="179"/>
    </row>
    <row r="180" ht="14.25" customHeight="1">
      <c r="A180" s="153"/>
      <c r="B180" s="24"/>
      <c r="C180" s="169"/>
      <c r="D180" s="169"/>
      <c r="E180" s="169"/>
      <c r="F180" s="169"/>
      <c r="G180" s="169"/>
      <c r="H180" s="169"/>
      <c r="I180" s="179"/>
      <c r="J180" s="179"/>
      <c r="K180" s="179"/>
      <c r="L180" s="179"/>
      <c r="M180" s="179"/>
      <c r="N180" s="179"/>
      <c r="O180" s="179"/>
    </row>
    <row r="181" ht="14.25" customHeight="1">
      <c r="A181" s="153"/>
      <c r="B181" s="24"/>
      <c r="C181" s="169"/>
      <c r="D181" s="169"/>
      <c r="E181" s="169"/>
      <c r="F181" s="169"/>
      <c r="G181" s="169"/>
      <c r="H181" s="169"/>
      <c r="I181" s="179"/>
      <c r="J181" s="179"/>
      <c r="K181" s="179"/>
      <c r="L181" s="179"/>
      <c r="M181" s="179"/>
      <c r="N181" s="179"/>
      <c r="O181" s="179"/>
    </row>
    <row r="182" ht="14.25" customHeight="1">
      <c r="A182" s="153"/>
      <c r="B182" s="24"/>
      <c r="C182" s="169"/>
      <c r="D182" s="169"/>
      <c r="E182" s="169"/>
      <c r="F182" s="169"/>
      <c r="G182" s="169"/>
      <c r="H182" s="169"/>
      <c r="I182" s="179"/>
      <c r="J182" s="179"/>
      <c r="K182" s="179"/>
      <c r="L182" s="179"/>
      <c r="M182" s="179"/>
      <c r="N182" s="179"/>
      <c r="O182" s="179"/>
    </row>
    <row r="183" ht="14.25" customHeight="1">
      <c r="A183" s="153"/>
      <c r="B183" s="24"/>
      <c r="C183" s="169"/>
      <c r="D183" s="169"/>
      <c r="E183" s="169"/>
      <c r="F183" s="169"/>
      <c r="G183" s="169"/>
      <c r="H183" s="169"/>
      <c r="I183" s="179"/>
      <c r="J183" s="179"/>
      <c r="K183" s="179"/>
      <c r="L183" s="179"/>
      <c r="M183" s="179"/>
      <c r="N183" s="179"/>
      <c r="O183" s="179"/>
    </row>
    <row r="184" ht="14.25" customHeight="1">
      <c r="A184" s="153"/>
      <c r="B184" s="24"/>
      <c r="C184" s="169"/>
      <c r="D184" s="169"/>
      <c r="E184" s="169"/>
      <c r="F184" s="169"/>
      <c r="G184" s="169"/>
      <c r="H184" s="169"/>
      <c r="I184" s="179"/>
      <c r="J184" s="179"/>
      <c r="K184" s="179"/>
      <c r="L184" s="179"/>
      <c r="M184" s="179"/>
      <c r="N184" s="179"/>
      <c r="O184" s="179"/>
    </row>
    <row r="185" ht="14.25" customHeight="1">
      <c r="A185" s="153"/>
      <c r="B185" s="24"/>
      <c r="C185" s="169"/>
      <c r="D185" s="169"/>
      <c r="E185" s="169"/>
      <c r="F185" s="169"/>
      <c r="G185" s="169"/>
      <c r="H185" s="169"/>
      <c r="I185" s="179"/>
      <c r="J185" s="179"/>
      <c r="K185" s="179"/>
      <c r="L185" s="179"/>
      <c r="M185" s="179"/>
      <c r="N185" s="179"/>
      <c r="O185" s="179"/>
    </row>
    <row r="186" ht="14.25" customHeight="1">
      <c r="A186" s="153"/>
      <c r="B186" s="24"/>
      <c r="C186" s="169"/>
      <c r="D186" s="169"/>
      <c r="E186" s="169"/>
      <c r="F186" s="169"/>
      <c r="G186" s="169"/>
      <c r="H186" s="169"/>
      <c r="I186" s="179"/>
      <c r="J186" s="179"/>
      <c r="K186" s="179"/>
      <c r="L186" s="179"/>
      <c r="M186" s="179"/>
      <c r="N186" s="179"/>
      <c r="O186" s="179"/>
    </row>
    <row r="187" ht="14.25" customHeight="1">
      <c r="A187" s="153"/>
      <c r="B187" s="24"/>
      <c r="C187" s="169"/>
      <c r="D187" s="169"/>
      <c r="E187" s="169"/>
      <c r="F187" s="169"/>
      <c r="G187" s="169"/>
      <c r="H187" s="169"/>
      <c r="I187" s="179"/>
      <c r="J187" s="179"/>
      <c r="K187" s="179"/>
      <c r="L187" s="179"/>
      <c r="M187" s="179"/>
      <c r="N187" s="179"/>
      <c r="O187" s="179"/>
    </row>
    <row r="188" ht="14.25" customHeight="1">
      <c r="A188" s="153"/>
      <c r="B188" s="24"/>
      <c r="C188" s="169"/>
      <c r="D188" s="169"/>
      <c r="E188" s="169"/>
      <c r="F188" s="169"/>
      <c r="G188" s="169"/>
      <c r="H188" s="169"/>
      <c r="I188" s="179"/>
      <c r="J188" s="179"/>
      <c r="K188" s="179"/>
      <c r="L188" s="179"/>
      <c r="M188" s="179"/>
      <c r="N188" s="179"/>
      <c r="O188" s="179"/>
    </row>
    <row r="189" ht="14.25" customHeight="1">
      <c r="A189" s="153"/>
      <c r="B189" s="24"/>
      <c r="C189" s="169"/>
      <c r="D189" s="169"/>
      <c r="E189" s="169"/>
      <c r="F189" s="169"/>
      <c r="G189" s="169"/>
      <c r="H189" s="169"/>
      <c r="I189" s="179"/>
      <c r="J189" s="179"/>
      <c r="K189" s="179"/>
      <c r="L189" s="179"/>
      <c r="M189" s="179"/>
      <c r="N189" s="179"/>
      <c r="O189" s="179"/>
    </row>
    <row r="190" ht="14.25" customHeight="1">
      <c r="A190" s="153"/>
      <c r="B190" s="24"/>
      <c r="C190" s="169"/>
      <c r="D190" s="169"/>
      <c r="E190" s="169"/>
      <c r="F190" s="169"/>
      <c r="G190" s="169"/>
      <c r="H190" s="169"/>
      <c r="I190" s="179"/>
      <c r="J190" s="179"/>
      <c r="K190" s="179"/>
      <c r="L190" s="179"/>
      <c r="M190" s="179"/>
      <c r="N190" s="179"/>
      <c r="O190" s="179"/>
    </row>
    <row r="191" ht="14.25" customHeight="1">
      <c r="A191" s="153"/>
      <c r="B191" s="24"/>
      <c r="C191" s="169"/>
      <c r="D191" s="169"/>
      <c r="E191" s="169"/>
      <c r="F191" s="169"/>
      <c r="G191" s="169"/>
      <c r="H191" s="169"/>
      <c r="I191" s="179"/>
      <c r="J191" s="179"/>
      <c r="K191" s="179"/>
      <c r="L191" s="179"/>
      <c r="M191" s="179"/>
      <c r="N191" s="179"/>
      <c r="O191" s="179"/>
    </row>
    <row r="192" ht="14.25" customHeight="1">
      <c r="A192" s="153"/>
      <c r="B192" s="24"/>
      <c r="C192" s="169"/>
      <c r="D192" s="169"/>
      <c r="E192" s="169"/>
      <c r="F192" s="169"/>
      <c r="G192" s="169"/>
      <c r="H192" s="169"/>
      <c r="I192" s="179"/>
      <c r="J192" s="179"/>
      <c r="K192" s="179"/>
      <c r="L192" s="179"/>
      <c r="M192" s="179"/>
      <c r="N192" s="179"/>
      <c r="O192" s="179"/>
    </row>
    <row r="193" ht="14.25" customHeight="1">
      <c r="A193" s="153"/>
      <c r="B193" s="24"/>
      <c r="C193" s="169"/>
      <c r="D193" s="169"/>
      <c r="E193" s="169"/>
      <c r="F193" s="169"/>
      <c r="G193" s="169"/>
      <c r="H193" s="169"/>
      <c r="I193" s="179"/>
      <c r="J193" s="179"/>
      <c r="K193" s="179"/>
      <c r="L193" s="179"/>
      <c r="M193" s="179"/>
      <c r="N193" s="179"/>
      <c r="O193" s="179"/>
    </row>
    <row r="194" ht="14.25" customHeight="1">
      <c r="A194" s="153"/>
      <c r="B194" s="24"/>
      <c r="C194" s="169"/>
      <c r="D194" s="169"/>
      <c r="E194" s="169"/>
      <c r="F194" s="169"/>
      <c r="G194" s="169"/>
      <c r="H194" s="169"/>
      <c r="I194" s="179"/>
      <c r="J194" s="179"/>
      <c r="K194" s="179"/>
      <c r="L194" s="179"/>
      <c r="M194" s="179"/>
      <c r="N194" s="179"/>
      <c r="O194" s="179"/>
    </row>
    <row r="195" ht="14.25" customHeight="1">
      <c r="A195" s="153"/>
      <c r="B195" s="24"/>
      <c r="C195" s="169"/>
      <c r="D195" s="169"/>
      <c r="E195" s="169"/>
      <c r="F195" s="169"/>
      <c r="G195" s="169"/>
      <c r="H195" s="169"/>
      <c r="I195" s="179"/>
      <c r="J195" s="179"/>
      <c r="K195" s="179"/>
      <c r="L195" s="179"/>
      <c r="M195" s="179"/>
      <c r="N195" s="179"/>
      <c r="O195" s="179"/>
    </row>
    <row r="196" ht="14.25" customHeight="1">
      <c r="A196" s="153"/>
      <c r="B196" s="24"/>
      <c r="C196" s="169"/>
      <c r="D196" s="169"/>
      <c r="E196" s="169"/>
      <c r="F196" s="169"/>
      <c r="G196" s="169"/>
      <c r="H196" s="169"/>
      <c r="I196" s="179"/>
      <c r="J196" s="179"/>
      <c r="K196" s="179"/>
      <c r="L196" s="179"/>
      <c r="M196" s="179"/>
      <c r="N196" s="179"/>
      <c r="O196" s="179"/>
    </row>
    <row r="197" ht="14.25" customHeight="1">
      <c r="A197" s="153"/>
      <c r="B197" s="24"/>
      <c r="C197" s="169"/>
      <c r="D197" s="169"/>
      <c r="E197" s="169"/>
      <c r="F197" s="169"/>
      <c r="G197" s="169"/>
      <c r="H197" s="169"/>
      <c r="I197" s="179"/>
      <c r="J197" s="179"/>
      <c r="K197" s="179"/>
      <c r="L197" s="179"/>
      <c r="M197" s="179"/>
      <c r="N197" s="179"/>
      <c r="O197" s="179"/>
    </row>
    <row r="198" ht="14.25" customHeight="1">
      <c r="A198" s="153"/>
      <c r="B198" s="24"/>
      <c r="C198" s="169"/>
      <c r="D198" s="169"/>
      <c r="E198" s="169"/>
      <c r="F198" s="169"/>
      <c r="G198" s="169"/>
      <c r="H198" s="169"/>
      <c r="I198" s="179"/>
      <c r="J198" s="179"/>
      <c r="K198" s="179"/>
      <c r="L198" s="179"/>
      <c r="M198" s="179"/>
      <c r="N198" s="179"/>
      <c r="O198" s="179"/>
    </row>
    <row r="199" ht="14.25" customHeight="1">
      <c r="A199" s="153"/>
      <c r="B199" s="24"/>
      <c r="C199" s="169"/>
      <c r="D199" s="169"/>
      <c r="E199" s="169"/>
      <c r="F199" s="169"/>
      <c r="G199" s="169"/>
      <c r="H199" s="169"/>
      <c r="I199" s="179"/>
      <c r="J199" s="179"/>
      <c r="K199" s="179"/>
      <c r="L199" s="179"/>
      <c r="M199" s="179"/>
      <c r="N199" s="179"/>
      <c r="O199" s="179"/>
    </row>
    <row r="200" ht="14.25" customHeight="1">
      <c r="A200" s="153"/>
      <c r="B200" s="24"/>
      <c r="C200" s="169"/>
      <c r="D200" s="169"/>
      <c r="E200" s="169"/>
      <c r="F200" s="169"/>
      <c r="G200" s="169"/>
      <c r="H200" s="169"/>
      <c r="I200" s="179"/>
      <c r="J200" s="179"/>
      <c r="K200" s="179"/>
      <c r="L200" s="179"/>
      <c r="M200" s="179"/>
      <c r="N200" s="179"/>
      <c r="O200" s="179"/>
    </row>
    <row r="201" ht="14.25" customHeight="1">
      <c r="A201" s="153"/>
      <c r="B201" s="24"/>
      <c r="C201" s="169"/>
      <c r="D201" s="169"/>
      <c r="E201" s="169"/>
      <c r="F201" s="169"/>
      <c r="G201" s="169"/>
      <c r="H201" s="169"/>
      <c r="I201" s="179"/>
      <c r="J201" s="179"/>
      <c r="K201" s="179"/>
      <c r="L201" s="179"/>
      <c r="M201" s="179"/>
      <c r="N201" s="179"/>
      <c r="O201" s="179"/>
    </row>
    <row r="202" ht="14.25" customHeight="1">
      <c r="A202" s="153"/>
      <c r="B202" s="24"/>
      <c r="C202" s="169"/>
      <c r="D202" s="169"/>
      <c r="E202" s="169"/>
      <c r="F202" s="169"/>
      <c r="G202" s="169"/>
      <c r="H202" s="169"/>
      <c r="I202" s="179"/>
      <c r="J202" s="179"/>
      <c r="K202" s="179"/>
      <c r="L202" s="179"/>
      <c r="M202" s="179"/>
      <c r="N202" s="179"/>
      <c r="O202" s="179"/>
    </row>
    <row r="203" ht="14.25" customHeight="1">
      <c r="A203" s="153"/>
      <c r="B203" s="24"/>
      <c r="C203" s="169"/>
      <c r="D203" s="169"/>
      <c r="E203" s="169"/>
      <c r="F203" s="169"/>
      <c r="G203" s="169"/>
      <c r="H203" s="169"/>
      <c r="I203" s="179"/>
      <c r="J203" s="179"/>
      <c r="K203" s="179"/>
      <c r="L203" s="179"/>
      <c r="M203" s="179"/>
      <c r="N203" s="179"/>
      <c r="O203" s="179"/>
    </row>
    <row r="204" ht="14.25" customHeight="1">
      <c r="A204" s="153"/>
      <c r="B204" s="24"/>
      <c r="C204" s="169"/>
      <c r="D204" s="169"/>
      <c r="E204" s="169"/>
      <c r="F204" s="169"/>
      <c r="G204" s="169"/>
      <c r="H204" s="169"/>
      <c r="I204" s="179"/>
      <c r="J204" s="179"/>
      <c r="K204" s="179"/>
      <c r="L204" s="179"/>
      <c r="M204" s="179"/>
      <c r="N204" s="179"/>
      <c r="O204" s="179"/>
    </row>
    <row r="205" ht="14.25" customHeight="1">
      <c r="A205" s="153"/>
      <c r="B205" s="24"/>
      <c r="C205" s="169"/>
      <c r="D205" s="169"/>
      <c r="E205" s="169"/>
      <c r="F205" s="169"/>
      <c r="G205" s="169"/>
      <c r="H205" s="169"/>
      <c r="I205" s="179"/>
      <c r="J205" s="179"/>
      <c r="K205" s="179"/>
      <c r="L205" s="179"/>
      <c r="M205" s="179"/>
      <c r="N205" s="179"/>
      <c r="O205" s="179"/>
    </row>
    <row r="206" ht="14.25" customHeight="1">
      <c r="A206" s="153"/>
      <c r="B206" s="24"/>
      <c r="C206" s="169"/>
      <c r="D206" s="169"/>
      <c r="E206" s="169"/>
      <c r="F206" s="169"/>
      <c r="G206" s="169"/>
      <c r="H206" s="169"/>
      <c r="I206" s="179"/>
      <c r="J206" s="179"/>
      <c r="K206" s="179"/>
      <c r="L206" s="179"/>
      <c r="M206" s="179"/>
      <c r="N206" s="179"/>
      <c r="O206" s="179"/>
    </row>
    <row r="207" ht="14.25" customHeight="1">
      <c r="A207" s="153"/>
      <c r="B207" s="24"/>
      <c r="C207" s="169"/>
      <c r="D207" s="169"/>
      <c r="E207" s="169"/>
      <c r="F207" s="169"/>
      <c r="G207" s="169"/>
      <c r="H207" s="169"/>
      <c r="I207" s="179"/>
      <c r="J207" s="179"/>
      <c r="K207" s="179"/>
      <c r="L207" s="179"/>
      <c r="M207" s="179"/>
      <c r="N207" s="179"/>
      <c r="O207" s="179"/>
    </row>
    <row r="208" ht="14.25" customHeight="1">
      <c r="A208" s="153"/>
      <c r="B208" s="24"/>
      <c r="C208" s="169"/>
      <c r="D208" s="169"/>
      <c r="E208" s="169"/>
      <c r="F208" s="169"/>
      <c r="G208" s="169"/>
      <c r="H208" s="169"/>
      <c r="I208" s="179"/>
      <c r="J208" s="179"/>
      <c r="K208" s="179"/>
      <c r="L208" s="179"/>
      <c r="M208" s="179"/>
      <c r="N208" s="179"/>
      <c r="O208" s="179"/>
    </row>
    <row r="209" ht="14.25" customHeight="1">
      <c r="A209" s="153"/>
      <c r="B209" s="24"/>
      <c r="C209" s="169"/>
      <c r="D209" s="169"/>
      <c r="E209" s="169"/>
      <c r="F209" s="169"/>
      <c r="G209" s="169"/>
      <c r="H209" s="169"/>
      <c r="I209" s="179"/>
      <c r="J209" s="179"/>
      <c r="K209" s="179"/>
      <c r="L209" s="179"/>
      <c r="M209" s="179"/>
      <c r="N209" s="179"/>
      <c r="O209" s="179"/>
    </row>
    <row r="210" ht="14.25" customHeight="1">
      <c r="A210" s="153"/>
      <c r="B210" s="24"/>
      <c r="C210" s="169"/>
      <c r="D210" s="169"/>
      <c r="E210" s="169"/>
      <c r="F210" s="169"/>
      <c r="G210" s="169"/>
      <c r="H210" s="169"/>
      <c r="I210" s="179"/>
      <c r="J210" s="179"/>
      <c r="K210" s="179"/>
      <c r="L210" s="179"/>
      <c r="M210" s="179"/>
      <c r="N210" s="179"/>
      <c r="O210" s="179"/>
    </row>
    <row r="211" ht="14.25" customHeight="1">
      <c r="A211" s="153"/>
      <c r="B211" s="24"/>
      <c r="C211" s="169"/>
      <c r="D211" s="169"/>
      <c r="E211" s="169"/>
      <c r="F211" s="169"/>
      <c r="G211" s="169"/>
      <c r="H211" s="169"/>
      <c r="I211" s="179"/>
      <c r="J211" s="179"/>
      <c r="K211" s="179"/>
      <c r="L211" s="179"/>
      <c r="M211" s="179"/>
      <c r="N211" s="179"/>
      <c r="O211" s="179"/>
    </row>
    <row r="212" ht="14.25" customHeight="1">
      <c r="A212" s="153"/>
      <c r="B212" s="24"/>
      <c r="C212" s="169"/>
      <c r="D212" s="169"/>
      <c r="E212" s="169"/>
      <c r="F212" s="169"/>
      <c r="G212" s="169"/>
      <c r="H212" s="169"/>
      <c r="I212" s="179"/>
      <c r="J212" s="179"/>
      <c r="K212" s="179"/>
      <c r="L212" s="179"/>
      <c r="M212" s="179"/>
      <c r="N212" s="179"/>
      <c r="O212" s="179"/>
    </row>
    <row r="213" ht="14.25" customHeight="1">
      <c r="A213" s="153"/>
      <c r="B213" s="24"/>
      <c r="C213" s="169"/>
      <c r="D213" s="169"/>
      <c r="E213" s="169"/>
      <c r="F213" s="169"/>
      <c r="G213" s="169"/>
      <c r="H213" s="169"/>
      <c r="I213" s="179"/>
      <c r="J213" s="179"/>
      <c r="K213" s="179"/>
      <c r="L213" s="179"/>
      <c r="M213" s="179"/>
      <c r="N213" s="179"/>
      <c r="O213" s="179"/>
    </row>
    <row r="214" ht="14.25" customHeight="1">
      <c r="A214" s="153"/>
      <c r="B214" s="24"/>
      <c r="C214" s="169"/>
      <c r="D214" s="169"/>
      <c r="E214" s="169"/>
      <c r="F214" s="169"/>
      <c r="G214" s="169"/>
      <c r="H214" s="169"/>
      <c r="I214" s="179"/>
      <c r="J214" s="179"/>
      <c r="K214" s="179"/>
      <c r="L214" s="179"/>
      <c r="M214" s="179"/>
      <c r="N214" s="179"/>
      <c r="O214" s="179"/>
    </row>
    <row r="215" ht="14.25" customHeight="1">
      <c r="A215" s="153"/>
      <c r="B215" s="24"/>
      <c r="C215" s="169"/>
      <c r="D215" s="169"/>
      <c r="E215" s="169"/>
      <c r="F215" s="169"/>
      <c r="G215" s="169"/>
      <c r="H215" s="169"/>
      <c r="I215" s="179"/>
      <c r="J215" s="179"/>
      <c r="K215" s="179"/>
      <c r="L215" s="179"/>
      <c r="M215" s="179"/>
      <c r="N215" s="179"/>
      <c r="O215" s="179"/>
    </row>
    <row r="216" ht="14.25" customHeight="1">
      <c r="A216" s="153"/>
      <c r="B216" s="24"/>
      <c r="C216" s="169"/>
      <c r="D216" s="169"/>
      <c r="E216" s="169"/>
      <c r="F216" s="169"/>
      <c r="G216" s="169"/>
      <c r="H216" s="169"/>
      <c r="I216" s="179"/>
      <c r="J216" s="179"/>
      <c r="K216" s="179"/>
      <c r="L216" s="179"/>
      <c r="M216" s="179"/>
      <c r="N216" s="179"/>
      <c r="O216" s="179"/>
    </row>
    <row r="217" ht="14.25" customHeight="1">
      <c r="A217" s="153"/>
      <c r="B217" s="24"/>
      <c r="C217" s="169"/>
      <c r="D217" s="169"/>
      <c r="E217" s="169"/>
      <c r="F217" s="169"/>
      <c r="G217" s="169"/>
      <c r="H217" s="169"/>
      <c r="I217" s="179"/>
      <c r="J217" s="179"/>
      <c r="K217" s="179"/>
      <c r="L217" s="179"/>
      <c r="M217" s="179"/>
      <c r="N217" s="179"/>
      <c r="O217" s="179"/>
    </row>
    <row r="218" ht="14.25" customHeight="1">
      <c r="A218" s="153"/>
      <c r="B218" s="24"/>
      <c r="C218" s="169"/>
      <c r="D218" s="169"/>
      <c r="E218" s="169"/>
      <c r="F218" s="169"/>
      <c r="G218" s="169"/>
      <c r="H218" s="169"/>
      <c r="I218" s="179"/>
      <c r="J218" s="179"/>
      <c r="K218" s="179"/>
      <c r="L218" s="179"/>
      <c r="M218" s="179"/>
      <c r="N218" s="179"/>
      <c r="O218" s="179"/>
    </row>
    <row r="219" ht="14.25" customHeight="1">
      <c r="A219" s="153"/>
      <c r="B219" s="24"/>
      <c r="C219" s="169"/>
      <c r="D219" s="169"/>
      <c r="E219" s="169"/>
      <c r="F219" s="169"/>
      <c r="G219" s="169"/>
      <c r="H219" s="169"/>
      <c r="I219" s="179"/>
      <c r="J219" s="179"/>
      <c r="K219" s="179"/>
      <c r="L219" s="179"/>
      <c r="M219" s="179"/>
      <c r="N219" s="179"/>
      <c r="O219" s="179"/>
    </row>
    <row r="220" ht="14.25" customHeight="1">
      <c r="A220" s="153"/>
      <c r="B220" s="24"/>
      <c r="C220" s="169"/>
      <c r="D220" s="169"/>
      <c r="E220" s="169"/>
      <c r="F220" s="169"/>
      <c r="G220" s="169"/>
      <c r="H220" s="169"/>
      <c r="I220" s="179"/>
      <c r="J220" s="179"/>
      <c r="K220" s="179"/>
      <c r="L220" s="179"/>
      <c r="M220" s="179"/>
      <c r="N220" s="179"/>
      <c r="O220" s="179"/>
    </row>
    <row r="221" ht="14.25" customHeight="1">
      <c r="A221" s="153"/>
      <c r="B221" s="24"/>
      <c r="C221" s="169"/>
      <c r="D221" s="169"/>
      <c r="E221" s="169"/>
      <c r="F221" s="169"/>
      <c r="G221" s="169"/>
      <c r="H221" s="169"/>
      <c r="I221" s="179"/>
      <c r="J221" s="179"/>
      <c r="K221" s="179"/>
      <c r="L221" s="179"/>
      <c r="M221" s="179"/>
      <c r="N221" s="179"/>
      <c r="O221" s="179"/>
    </row>
    <row r="222" ht="14.25" customHeight="1">
      <c r="A222" s="153"/>
      <c r="B222" s="24"/>
      <c r="C222" s="169"/>
      <c r="D222" s="169"/>
      <c r="E222" s="169"/>
      <c r="F222" s="169"/>
      <c r="G222" s="169"/>
      <c r="H222" s="169"/>
      <c r="I222" s="179"/>
      <c r="J222" s="179"/>
      <c r="K222" s="179"/>
      <c r="L222" s="179"/>
      <c r="M222" s="179"/>
      <c r="N222" s="179"/>
      <c r="O222" s="179"/>
    </row>
    <row r="223" ht="14.25" customHeight="1">
      <c r="A223" s="153"/>
      <c r="B223" s="24"/>
      <c r="C223" s="169"/>
      <c r="D223" s="169"/>
      <c r="E223" s="169"/>
      <c r="F223" s="169"/>
      <c r="G223" s="169"/>
      <c r="H223" s="169"/>
      <c r="I223" s="179"/>
      <c r="J223" s="179"/>
      <c r="K223" s="179"/>
      <c r="L223" s="179"/>
      <c r="M223" s="179"/>
      <c r="N223" s="179"/>
      <c r="O223" s="179"/>
    </row>
    <row r="224" ht="14.25" customHeight="1">
      <c r="A224" s="153"/>
      <c r="B224" s="24"/>
      <c r="C224" s="169"/>
      <c r="D224" s="169"/>
      <c r="E224" s="169"/>
      <c r="F224" s="169"/>
      <c r="G224" s="169"/>
      <c r="H224" s="169"/>
      <c r="I224" s="179"/>
      <c r="J224" s="179"/>
      <c r="K224" s="179"/>
      <c r="L224" s="179"/>
      <c r="M224" s="179"/>
      <c r="N224" s="179"/>
      <c r="O224" s="179"/>
    </row>
    <row r="225" ht="14.25" customHeight="1">
      <c r="A225" s="153"/>
      <c r="B225" s="24"/>
      <c r="C225" s="169"/>
      <c r="D225" s="169"/>
      <c r="E225" s="169"/>
      <c r="F225" s="169"/>
      <c r="G225" s="169"/>
      <c r="H225" s="169"/>
      <c r="I225" s="179"/>
      <c r="J225" s="179"/>
      <c r="K225" s="179"/>
      <c r="L225" s="179"/>
      <c r="M225" s="179"/>
      <c r="N225" s="179"/>
      <c r="O225" s="179"/>
    </row>
    <row r="226" ht="14.25" customHeight="1">
      <c r="A226" s="153"/>
      <c r="B226" s="24"/>
      <c r="C226" s="169"/>
      <c r="D226" s="169"/>
      <c r="E226" s="169"/>
      <c r="F226" s="169"/>
      <c r="G226" s="169"/>
      <c r="H226" s="169"/>
      <c r="I226" s="179"/>
      <c r="J226" s="179"/>
      <c r="K226" s="179"/>
      <c r="L226" s="179"/>
      <c r="M226" s="179"/>
      <c r="N226" s="179"/>
      <c r="O226" s="179"/>
    </row>
    <row r="227" ht="14.25" customHeight="1">
      <c r="A227" s="153"/>
      <c r="B227" s="24"/>
      <c r="C227" s="169"/>
      <c r="D227" s="169"/>
      <c r="E227" s="169"/>
      <c r="F227" s="169"/>
      <c r="G227" s="169"/>
      <c r="H227" s="169"/>
      <c r="I227" s="179"/>
      <c r="J227" s="179"/>
      <c r="K227" s="179"/>
      <c r="L227" s="179"/>
      <c r="M227" s="179"/>
      <c r="N227" s="179"/>
      <c r="O227" s="179"/>
    </row>
    <row r="228" ht="14.25" customHeight="1">
      <c r="A228" s="153"/>
      <c r="B228" s="24"/>
      <c r="C228" s="169"/>
      <c r="D228" s="169"/>
      <c r="E228" s="169"/>
      <c r="F228" s="169"/>
      <c r="G228" s="169"/>
      <c r="H228" s="169"/>
      <c r="I228" s="179"/>
      <c r="J228" s="179"/>
      <c r="K228" s="179"/>
      <c r="L228" s="179"/>
      <c r="M228" s="179"/>
      <c r="N228" s="179"/>
      <c r="O228" s="179"/>
    </row>
    <row r="229" ht="14.25" customHeight="1">
      <c r="A229" s="153"/>
      <c r="B229" s="24"/>
      <c r="C229" s="169"/>
      <c r="D229" s="169"/>
      <c r="E229" s="169"/>
      <c r="F229" s="169"/>
      <c r="G229" s="169"/>
      <c r="H229" s="169"/>
      <c r="I229" s="179"/>
      <c r="J229" s="179"/>
      <c r="K229" s="179"/>
      <c r="L229" s="179"/>
      <c r="M229" s="179"/>
      <c r="N229" s="179"/>
      <c r="O229" s="179"/>
    </row>
    <row r="230" ht="14.25" customHeight="1">
      <c r="A230" s="153"/>
      <c r="B230" s="24"/>
      <c r="C230" s="169"/>
      <c r="D230" s="169"/>
      <c r="E230" s="169"/>
      <c r="F230" s="169"/>
      <c r="G230" s="169"/>
      <c r="H230" s="169"/>
      <c r="I230" s="179"/>
      <c r="J230" s="179"/>
      <c r="K230" s="179"/>
      <c r="L230" s="179"/>
      <c r="M230" s="179"/>
      <c r="N230" s="179"/>
      <c r="O230" s="179"/>
    </row>
    <row r="231" ht="14.25" customHeight="1">
      <c r="A231" s="153"/>
      <c r="B231" s="24"/>
      <c r="C231" s="169"/>
      <c r="D231" s="169"/>
      <c r="E231" s="169"/>
      <c r="F231" s="169"/>
      <c r="G231" s="169"/>
      <c r="H231" s="169"/>
      <c r="I231" s="179"/>
      <c r="J231" s="179"/>
      <c r="K231" s="179"/>
      <c r="L231" s="179"/>
      <c r="M231" s="179"/>
      <c r="N231" s="179"/>
      <c r="O231" s="179"/>
    </row>
    <row r="232" ht="14.25" customHeight="1">
      <c r="A232" s="153"/>
      <c r="B232" s="24"/>
      <c r="C232" s="169"/>
      <c r="D232" s="169"/>
      <c r="E232" s="169"/>
      <c r="F232" s="169"/>
      <c r="G232" s="169"/>
      <c r="H232" s="169"/>
      <c r="I232" s="179"/>
      <c r="J232" s="179"/>
      <c r="K232" s="179"/>
      <c r="L232" s="179"/>
      <c r="M232" s="179"/>
      <c r="N232" s="179"/>
      <c r="O232" s="179"/>
    </row>
    <row r="233" ht="14.25" customHeight="1">
      <c r="A233" s="153"/>
      <c r="B233" s="24"/>
      <c r="C233" s="169"/>
      <c r="D233" s="169"/>
      <c r="E233" s="169"/>
      <c r="F233" s="169"/>
      <c r="G233" s="169"/>
      <c r="H233" s="169"/>
      <c r="I233" s="179"/>
      <c r="J233" s="179"/>
      <c r="K233" s="179"/>
      <c r="L233" s="179"/>
      <c r="M233" s="179"/>
      <c r="N233" s="179"/>
      <c r="O233" s="179"/>
    </row>
    <row r="234" ht="14.25" customHeight="1">
      <c r="A234" s="153"/>
      <c r="B234" s="24"/>
      <c r="C234" s="169"/>
      <c r="D234" s="169"/>
      <c r="E234" s="169"/>
      <c r="F234" s="169"/>
      <c r="G234" s="169"/>
      <c r="H234" s="169"/>
      <c r="I234" s="179"/>
      <c r="J234" s="179"/>
      <c r="K234" s="179"/>
      <c r="L234" s="179"/>
      <c r="M234" s="179"/>
      <c r="N234" s="179"/>
      <c r="O234" s="179"/>
    </row>
    <row r="235" ht="14.25" customHeight="1">
      <c r="A235" s="153"/>
      <c r="B235" s="24"/>
      <c r="C235" s="169"/>
      <c r="D235" s="169"/>
      <c r="E235" s="169"/>
      <c r="F235" s="169"/>
      <c r="G235" s="169"/>
      <c r="H235" s="169"/>
      <c r="I235" s="179"/>
      <c r="J235" s="179"/>
      <c r="K235" s="179"/>
      <c r="L235" s="179"/>
      <c r="M235" s="179"/>
      <c r="N235" s="179"/>
      <c r="O235" s="179"/>
    </row>
    <row r="236" ht="14.25" customHeight="1">
      <c r="A236" s="153"/>
      <c r="B236" s="24"/>
      <c r="C236" s="169"/>
      <c r="D236" s="169"/>
      <c r="E236" s="169"/>
      <c r="F236" s="169"/>
      <c r="G236" s="169"/>
      <c r="H236" s="169"/>
      <c r="I236" s="179"/>
      <c r="J236" s="179"/>
      <c r="K236" s="179"/>
      <c r="L236" s="179"/>
      <c r="M236" s="179"/>
      <c r="N236" s="179"/>
      <c r="O236" s="179"/>
    </row>
    <row r="237" ht="14.25" customHeight="1">
      <c r="A237" s="153"/>
      <c r="B237" s="24"/>
      <c r="C237" s="169"/>
      <c r="D237" s="169"/>
      <c r="E237" s="169"/>
      <c r="F237" s="169"/>
      <c r="G237" s="169"/>
      <c r="H237" s="169"/>
      <c r="I237" s="179"/>
      <c r="J237" s="179"/>
      <c r="K237" s="179"/>
      <c r="L237" s="179"/>
      <c r="M237" s="179"/>
      <c r="N237" s="179"/>
      <c r="O237" s="179"/>
    </row>
    <row r="238" ht="14.25" customHeight="1">
      <c r="A238" s="153"/>
      <c r="B238" s="24"/>
      <c r="C238" s="169"/>
      <c r="D238" s="169"/>
      <c r="E238" s="169"/>
      <c r="F238" s="169"/>
      <c r="G238" s="169"/>
      <c r="H238" s="169"/>
      <c r="I238" s="179"/>
      <c r="J238" s="179"/>
      <c r="K238" s="179"/>
      <c r="L238" s="179"/>
      <c r="M238" s="179"/>
      <c r="N238" s="179"/>
      <c r="O238" s="179"/>
    </row>
    <row r="239" ht="14.25" customHeight="1">
      <c r="A239" s="153"/>
      <c r="B239" s="24"/>
      <c r="C239" s="169"/>
      <c r="D239" s="169"/>
      <c r="E239" s="169"/>
      <c r="F239" s="169"/>
      <c r="G239" s="169"/>
      <c r="H239" s="169"/>
      <c r="I239" s="179"/>
      <c r="J239" s="179"/>
      <c r="K239" s="179"/>
      <c r="L239" s="179"/>
      <c r="M239" s="179"/>
      <c r="N239" s="179"/>
      <c r="O239" s="179"/>
    </row>
    <row r="240" ht="14.25" customHeight="1">
      <c r="A240" s="153"/>
      <c r="B240" s="24"/>
      <c r="C240" s="169"/>
      <c r="D240" s="169"/>
      <c r="E240" s="169"/>
      <c r="F240" s="169"/>
      <c r="G240" s="169"/>
      <c r="H240" s="169"/>
      <c r="I240" s="179"/>
      <c r="J240" s="179"/>
      <c r="K240" s="179"/>
      <c r="L240" s="179"/>
      <c r="M240" s="179"/>
      <c r="N240" s="179"/>
      <c r="O240" s="179"/>
    </row>
    <row r="241" ht="14.25" customHeight="1">
      <c r="A241" s="153"/>
      <c r="B241" s="24"/>
      <c r="C241" s="169"/>
      <c r="D241" s="169"/>
      <c r="E241" s="169"/>
      <c r="F241" s="169"/>
      <c r="G241" s="169"/>
      <c r="H241" s="169"/>
      <c r="I241" s="179"/>
      <c r="J241" s="179"/>
      <c r="K241" s="179"/>
      <c r="L241" s="179"/>
      <c r="M241" s="179"/>
      <c r="N241" s="179"/>
      <c r="O241" s="179"/>
    </row>
    <row r="242" ht="14.25" customHeight="1">
      <c r="A242" s="153"/>
      <c r="B242" s="24"/>
      <c r="C242" s="169"/>
      <c r="D242" s="169"/>
      <c r="E242" s="169"/>
      <c r="F242" s="169"/>
      <c r="G242" s="169"/>
      <c r="H242" s="169"/>
      <c r="I242" s="179"/>
      <c r="J242" s="179"/>
      <c r="K242" s="179"/>
      <c r="L242" s="179"/>
      <c r="M242" s="179"/>
      <c r="N242" s="179"/>
      <c r="O242" s="179"/>
    </row>
    <row r="243" ht="14.25" customHeight="1">
      <c r="A243" s="153"/>
      <c r="B243" s="24"/>
      <c r="C243" s="169"/>
      <c r="D243" s="169"/>
      <c r="E243" s="169"/>
      <c r="F243" s="169"/>
      <c r="G243" s="169"/>
      <c r="H243" s="169"/>
      <c r="I243" s="179"/>
      <c r="J243" s="179"/>
      <c r="K243" s="179"/>
      <c r="L243" s="179"/>
      <c r="M243" s="179"/>
      <c r="N243" s="179"/>
      <c r="O243" s="179"/>
    </row>
    <row r="244" ht="14.25" customHeight="1">
      <c r="A244" s="153"/>
      <c r="B244" s="24"/>
      <c r="C244" s="169"/>
      <c r="D244" s="169"/>
      <c r="E244" s="169"/>
      <c r="F244" s="169"/>
      <c r="G244" s="169"/>
      <c r="H244" s="169"/>
      <c r="I244" s="179"/>
      <c r="J244" s="179"/>
      <c r="K244" s="179"/>
      <c r="L244" s="179"/>
      <c r="M244" s="179"/>
      <c r="N244" s="179"/>
      <c r="O244" s="179"/>
    </row>
    <row r="245" ht="14.25" customHeight="1">
      <c r="A245" s="153"/>
      <c r="B245" s="24"/>
      <c r="C245" s="169"/>
      <c r="D245" s="169"/>
      <c r="E245" s="169"/>
      <c r="F245" s="169"/>
      <c r="G245" s="169"/>
      <c r="H245" s="169"/>
      <c r="I245" s="179"/>
      <c r="J245" s="179"/>
      <c r="K245" s="179"/>
      <c r="L245" s="179"/>
      <c r="M245" s="179"/>
      <c r="N245" s="179"/>
      <c r="O245" s="179"/>
    </row>
    <row r="246" ht="14.25" customHeight="1">
      <c r="A246" s="153"/>
      <c r="B246" s="24"/>
      <c r="C246" s="169"/>
      <c r="D246" s="169"/>
      <c r="E246" s="169"/>
      <c r="F246" s="169"/>
      <c r="G246" s="169"/>
      <c r="H246" s="169"/>
      <c r="I246" s="179"/>
      <c r="J246" s="179"/>
      <c r="K246" s="179"/>
      <c r="L246" s="179"/>
      <c r="M246" s="179"/>
      <c r="N246" s="179"/>
      <c r="O246" s="179"/>
    </row>
    <row r="247" ht="14.25" customHeight="1">
      <c r="A247" s="153"/>
      <c r="B247" s="24"/>
      <c r="C247" s="169"/>
      <c r="D247" s="169"/>
      <c r="E247" s="169"/>
      <c r="F247" s="169"/>
      <c r="G247" s="169"/>
      <c r="H247" s="169"/>
      <c r="I247" s="179"/>
      <c r="J247" s="179"/>
      <c r="K247" s="179"/>
      <c r="L247" s="179"/>
      <c r="M247" s="179"/>
      <c r="N247" s="179"/>
      <c r="O247" s="179"/>
    </row>
    <row r="248" ht="14.25" customHeight="1">
      <c r="A248" s="153"/>
      <c r="B248" s="24"/>
      <c r="C248" s="169"/>
      <c r="D248" s="169"/>
      <c r="E248" s="169"/>
      <c r="F248" s="169"/>
      <c r="G248" s="169"/>
      <c r="H248" s="169"/>
      <c r="I248" s="179"/>
      <c r="J248" s="179"/>
      <c r="K248" s="179"/>
      <c r="L248" s="179"/>
      <c r="M248" s="179"/>
      <c r="N248" s="179"/>
      <c r="O248" s="179"/>
    </row>
    <row r="249" ht="14.25" customHeight="1">
      <c r="A249" s="153"/>
      <c r="B249" s="24"/>
      <c r="C249" s="169"/>
      <c r="D249" s="169"/>
      <c r="E249" s="169"/>
      <c r="F249" s="169"/>
      <c r="G249" s="169"/>
      <c r="H249" s="169"/>
      <c r="I249" s="179"/>
      <c r="J249" s="179"/>
      <c r="K249" s="179"/>
      <c r="L249" s="179"/>
      <c r="M249" s="179"/>
      <c r="N249" s="179"/>
      <c r="O249" s="179"/>
    </row>
    <row r="250" ht="14.25" customHeight="1">
      <c r="A250" s="153"/>
      <c r="B250" s="24"/>
      <c r="C250" s="169"/>
      <c r="D250" s="169"/>
      <c r="E250" s="169"/>
      <c r="F250" s="169"/>
      <c r="G250" s="169"/>
      <c r="H250" s="169"/>
      <c r="I250" s="179"/>
      <c r="J250" s="179"/>
      <c r="K250" s="179"/>
      <c r="L250" s="179"/>
      <c r="M250" s="179"/>
      <c r="N250" s="179"/>
      <c r="O250" s="179"/>
    </row>
    <row r="251" ht="14.25" customHeight="1">
      <c r="A251" s="153"/>
      <c r="B251" s="24"/>
      <c r="C251" s="169"/>
      <c r="D251" s="169"/>
      <c r="E251" s="169"/>
      <c r="F251" s="169"/>
      <c r="G251" s="169"/>
      <c r="H251" s="169"/>
      <c r="I251" s="179"/>
      <c r="J251" s="179"/>
      <c r="K251" s="179"/>
      <c r="L251" s="179"/>
      <c r="M251" s="179"/>
      <c r="N251" s="179"/>
      <c r="O251" s="179"/>
    </row>
    <row r="252" ht="14.25" customHeight="1">
      <c r="A252" s="153"/>
      <c r="B252" s="24"/>
      <c r="C252" s="169"/>
      <c r="D252" s="169"/>
      <c r="E252" s="169"/>
      <c r="F252" s="169"/>
      <c r="G252" s="169"/>
      <c r="H252" s="169"/>
      <c r="I252" s="179"/>
      <c r="J252" s="179"/>
      <c r="K252" s="179"/>
      <c r="L252" s="179"/>
      <c r="M252" s="179"/>
      <c r="N252" s="179"/>
      <c r="O252" s="179"/>
    </row>
    <row r="253" ht="14.25" customHeight="1">
      <c r="A253" s="153"/>
      <c r="B253" s="24"/>
      <c r="C253" s="169"/>
      <c r="D253" s="169"/>
      <c r="E253" s="169"/>
      <c r="F253" s="169"/>
      <c r="G253" s="169"/>
      <c r="H253" s="169"/>
      <c r="I253" s="179"/>
      <c r="J253" s="179"/>
      <c r="K253" s="179"/>
      <c r="L253" s="179"/>
      <c r="M253" s="179"/>
      <c r="N253" s="179"/>
      <c r="O253" s="179"/>
    </row>
    <row r="254" ht="14.25" customHeight="1">
      <c r="A254" s="153"/>
      <c r="B254" s="24"/>
      <c r="C254" s="169"/>
      <c r="D254" s="169"/>
      <c r="E254" s="169"/>
      <c r="F254" s="169"/>
      <c r="G254" s="169"/>
      <c r="H254" s="169"/>
      <c r="I254" s="179"/>
      <c r="J254" s="179"/>
      <c r="K254" s="179"/>
      <c r="L254" s="179"/>
      <c r="M254" s="179"/>
      <c r="N254" s="179"/>
      <c r="O254" s="179"/>
    </row>
    <row r="255" ht="14.25" customHeight="1">
      <c r="A255" s="153"/>
      <c r="B255" s="24"/>
      <c r="C255" s="169"/>
      <c r="D255" s="169"/>
      <c r="E255" s="169"/>
      <c r="F255" s="169"/>
      <c r="G255" s="169"/>
      <c r="H255" s="169"/>
      <c r="I255" s="179"/>
      <c r="J255" s="179"/>
      <c r="K255" s="179"/>
      <c r="L255" s="179"/>
      <c r="M255" s="179"/>
      <c r="N255" s="179"/>
      <c r="O255" s="179"/>
    </row>
    <row r="256" ht="14.25" customHeight="1">
      <c r="A256" s="153"/>
      <c r="B256" s="24"/>
      <c r="C256" s="169"/>
      <c r="D256" s="169"/>
      <c r="E256" s="169"/>
      <c r="F256" s="169"/>
      <c r="G256" s="169"/>
      <c r="H256" s="169"/>
      <c r="I256" s="179"/>
      <c r="J256" s="179"/>
      <c r="K256" s="179"/>
      <c r="L256" s="179"/>
      <c r="M256" s="179"/>
      <c r="N256" s="179"/>
      <c r="O256" s="179"/>
    </row>
    <row r="257" ht="14.25" customHeight="1">
      <c r="A257" s="153"/>
      <c r="B257" s="24"/>
      <c r="C257" s="169"/>
      <c r="D257" s="169"/>
      <c r="E257" s="169"/>
      <c r="F257" s="169"/>
      <c r="G257" s="169"/>
      <c r="H257" s="169"/>
      <c r="I257" s="179"/>
      <c r="J257" s="179"/>
      <c r="K257" s="179"/>
      <c r="L257" s="179"/>
      <c r="M257" s="179"/>
      <c r="N257" s="179"/>
      <c r="O257" s="179"/>
    </row>
    <row r="258" ht="14.25" customHeight="1">
      <c r="A258" s="153"/>
      <c r="B258" s="24"/>
      <c r="C258" s="169"/>
      <c r="D258" s="169"/>
      <c r="E258" s="169"/>
      <c r="F258" s="169"/>
      <c r="G258" s="169"/>
      <c r="H258" s="169"/>
      <c r="I258" s="179"/>
      <c r="J258" s="179"/>
      <c r="K258" s="179"/>
      <c r="L258" s="179"/>
      <c r="M258" s="179"/>
      <c r="N258" s="179"/>
      <c r="O258" s="179"/>
    </row>
    <row r="259" ht="14.25" customHeight="1">
      <c r="A259" s="153"/>
      <c r="B259" s="24"/>
      <c r="C259" s="169"/>
      <c r="D259" s="169"/>
      <c r="E259" s="169"/>
      <c r="F259" s="169"/>
      <c r="G259" s="169"/>
      <c r="H259" s="169"/>
      <c r="I259" s="179"/>
      <c r="J259" s="179"/>
      <c r="K259" s="179"/>
      <c r="L259" s="179"/>
      <c r="M259" s="179"/>
      <c r="N259" s="179"/>
      <c r="O259" s="179"/>
    </row>
    <row r="260" ht="14.25" customHeight="1">
      <c r="A260" s="153"/>
      <c r="B260" s="24"/>
      <c r="C260" s="169"/>
      <c r="D260" s="169"/>
      <c r="E260" s="169"/>
      <c r="F260" s="169"/>
      <c r="G260" s="169"/>
      <c r="H260" s="169"/>
      <c r="I260" s="179"/>
      <c r="J260" s="179"/>
      <c r="K260" s="179"/>
      <c r="L260" s="179"/>
      <c r="M260" s="179"/>
      <c r="N260" s="179"/>
      <c r="O260" s="179"/>
    </row>
    <row r="261" ht="14.25" customHeight="1">
      <c r="A261" s="153"/>
      <c r="B261" s="24"/>
      <c r="C261" s="169"/>
      <c r="D261" s="169"/>
      <c r="E261" s="169"/>
      <c r="F261" s="169"/>
      <c r="G261" s="169"/>
      <c r="H261" s="169"/>
      <c r="I261" s="179"/>
      <c r="J261" s="179"/>
      <c r="K261" s="179"/>
      <c r="L261" s="179"/>
      <c r="M261" s="179"/>
      <c r="N261" s="179"/>
      <c r="O261" s="179"/>
    </row>
    <row r="262" ht="14.25" customHeight="1">
      <c r="A262" s="153"/>
      <c r="B262" s="24"/>
      <c r="C262" s="169"/>
      <c r="D262" s="169"/>
      <c r="E262" s="169"/>
      <c r="F262" s="169"/>
      <c r="G262" s="169"/>
      <c r="H262" s="169"/>
      <c r="I262" s="179"/>
      <c r="J262" s="179"/>
      <c r="K262" s="179"/>
      <c r="L262" s="179"/>
      <c r="M262" s="179"/>
      <c r="N262" s="179"/>
      <c r="O262" s="179"/>
    </row>
    <row r="263" ht="14.25" customHeight="1">
      <c r="A263" s="153"/>
      <c r="B263" s="24"/>
      <c r="C263" s="169"/>
      <c r="D263" s="169"/>
      <c r="E263" s="169"/>
      <c r="F263" s="169"/>
      <c r="G263" s="169"/>
      <c r="H263" s="169"/>
      <c r="I263" s="179"/>
      <c r="J263" s="179"/>
      <c r="K263" s="179"/>
      <c r="L263" s="179"/>
      <c r="M263" s="179"/>
      <c r="N263" s="179"/>
      <c r="O263" s="179"/>
    </row>
    <row r="264" ht="14.25" customHeight="1">
      <c r="A264" s="153"/>
      <c r="B264" s="24"/>
      <c r="C264" s="169"/>
      <c r="D264" s="169"/>
      <c r="E264" s="169"/>
      <c r="F264" s="169"/>
      <c r="G264" s="169"/>
      <c r="H264" s="169"/>
      <c r="I264" s="179"/>
      <c r="J264" s="179"/>
      <c r="K264" s="179"/>
      <c r="L264" s="179"/>
      <c r="M264" s="179"/>
      <c r="N264" s="179"/>
      <c r="O264" s="179"/>
    </row>
    <row r="265" ht="14.25" customHeight="1">
      <c r="A265" s="153"/>
      <c r="B265" s="24"/>
      <c r="C265" s="169"/>
      <c r="D265" s="169"/>
      <c r="E265" s="169"/>
      <c r="F265" s="169"/>
      <c r="G265" s="169"/>
      <c r="H265" s="169"/>
      <c r="I265" s="179"/>
      <c r="J265" s="179"/>
      <c r="K265" s="179"/>
      <c r="L265" s="179"/>
      <c r="M265" s="179"/>
      <c r="N265" s="179"/>
      <c r="O265" s="179"/>
    </row>
    <row r="266" ht="14.25" customHeight="1">
      <c r="A266" s="153"/>
      <c r="B266" s="24"/>
      <c r="C266" s="169"/>
      <c r="D266" s="169"/>
      <c r="E266" s="169"/>
      <c r="F266" s="169"/>
      <c r="G266" s="169"/>
      <c r="H266" s="169"/>
      <c r="I266" s="179"/>
      <c r="J266" s="179"/>
      <c r="K266" s="179"/>
      <c r="L266" s="179"/>
      <c r="M266" s="179"/>
      <c r="N266" s="179"/>
      <c r="O266" s="179"/>
    </row>
    <row r="267" ht="14.25" customHeight="1">
      <c r="A267" s="153"/>
      <c r="B267" s="24"/>
      <c r="C267" s="169"/>
      <c r="D267" s="169"/>
      <c r="E267" s="169"/>
      <c r="F267" s="169"/>
      <c r="G267" s="169"/>
      <c r="H267" s="169"/>
      <c r="I267" s="179"/>
      <c r="J267" s="179"/>
      <c r="K267" s="179"/>
      <c r="L267" s="179"/>
      <c r="M267" s="179"/>
      <c r="N267" s="179"/>
      <c r="O267" s="179"/>
    </row>
    <row r="268" ht="14.25" customHeight="1">
      <c r="A268" s="153"/>
      <c r="B268" s="24"/>
      <c r="C268" s="169"/>
      <c r="D268" s="169"/>
      <c r="E268" s="169"/>
      <c r="F268" s="169"/>
      <c r="G268" s="169"/>
      <c r="H268" s="169"/>
      <c r="I268" s="179"/>
      <c r="J268" s="179"/>
      <c r="K268" s="179"/>
      <c r="L268" s="179"/>
      <c r="M268" s="179"/>
      <c r="N268" s="179"/>
      <c r="O268" s="179"/>
    </row>
    <row r="269" ht="14.25" customHeight="1">
      <c r="A269" s="153"/>
      <c r="B269" s="24"/>
      <c r="C269" s="169"/>
      <c r="D269" s="169"/>
      <c r="E269" s="169"/>
      <c r="F269" s="169"/>
      <c r="G269" s="169"/>
      <c r="H269" s="169"/>
      <c r="I269" s="179"/>
      <c r="J269" s="179"/>
      <c r="K269" s="179"/>
      <c r="L269" s="179"/>
      <c r="M269" s="179"/>
      <c r="N269" s="179"/>
      <c r="O269" s="179"/>
    </row>
    <row r="270" ht="14.25" customHeight="1">
      <c r="A270" s="153"/>
      <c r="B270" s="24"/>
      <c r="C270" s="169"/>
      <c r="D270" s="169"/>
      <c r="E270" s="169"/>
      <c r="F270" s="169"/>
      <c r="G270" s="169"/>
      <c r="H270" s="169"/>
      <c r="I270" s="179"/>
      <c r="J270" s="179"/>
      <c r="K270" s="179"/>
      <c r="L270" s="179"/>
      <c r="M270" s="179"/>
      <c r="N270" s="179"/>
      <c r="O270" s="179"/>
    </row>
    <row r="271" ht="14.25" customHeight="1">
      <c r="A271" s="153"/>
      <c r="B271" s="24"/>
      <c r="C271" s="169"/>
      <c r="D271" s="169"/>
      <c r="E271" s="169"/>
      <c r="F271" s="169"/>
      <c r="G271" s="169"/>
      <c r="H271" s="169"/>
      <c r="I271" s="179"/>
      <c r="J271" s="179"/>
      <c r="K271" s="179"/>
      <c r="L271" s="179"/>
      <c r="M271" s="179"/>
      <c r="N271" s="179"/>
      <c r="O271" s="179"/>
    </row>
    <row r="272" ht="14.25" customHeight="1">
      <c r="A272" s="153"/>
      <c r="B272" s="24"/>
      <c r="C272" s="169"/>
      <c r="D272" s="169"/>
      <c r="E272" s="169"/>
      <c r="F272" s="169"/>
      <c r="G272" s="169"/>
      <c r="H272" s="169"/>
      <c r="I272" s="179"/>
      <c r="J272" s="179"/>
      <c r="K272" s="179"/>
      <c r="L272" s="179"/>
      <c r="M272" s="179"/>
      <c r="N272" s="179"/>
      <c r="O272" s="179"/>
    </row>
    <row r="273" ht="14.25" customHeight="1">
      <c r="A273" s="153"/>
      <c r="B273" s="24"/>
      <c r="C273" s="169"/>
      <c r="D273" s="169"/>
      <c r="E273" s="169"/>
      <c r="F273" s="169"/>
      <c r="G273" s="169"/>
      <c r="H273" s="169"/>
      <c r="I273" s="179"/>
      <c r="J273" s="179"/>
      <c r="K273" s="179"/>
      <c r="L273" s="179"/>
      <c r="M273" s="179"/>
      <c r="N273" s="179"/>
      <c r="O273" s="179"/>
    </row>
    <row r="274" ht="14.25" customHeight="1">
      <c r="A274" s="153"/>
      <c r="B274" s="24"/>
      <c r="C274" s="169"/>
      <c r="D274" s="169"/>
      <c r="E274" s="169"/>
      <c r="F274" s="169"/>
      <c r="G274" s="169"/>
      <c r="H274" s="169"/>
      <c r="I274" s="179"/>
      <c r="J274" s="179"/>
      <c r="K274" s="179"/>
      <c r="L274" s="179"/>
      <c r="M274" s="179"/>
      <c r="N274" s="179"/>
      <c r="O274" s="179"/>
    </row>
    <row r="275" ht="15.75" customHeight="1">
      <c r="I275" s="179"/>
      <c r="J275" s="179"/>
      <c r="K275" s="179"/>
      <c r="L275" s="179"/>
      <c r="M275" s="179"/>
      <c r="N275" s="179"/>
      <c r="O275" s="179"/>
    </row>
    <row r="276" ht="15.75" customHeight="1">
      <c r="I276" s="179"/>
      <c r="J276" s="179"/>
      <c r="K276" s="179"/>
      <c r="L276" s="179"/>
      <c r="M276" s="179"/>
      <c r="N276" s="179"/>
      <c r="O276" s="179"/>
    </row>
    <row r="277" ht="15.75" customHeight="1">
      <c r="I277" s="179"/>
      <c r="J277" s="179"/>
      <c r="K277" s="179"/>
      <c r="L277" s="179"/>
      <c r="M277" s="179"/>
      <c r="N277" s="179"/>
      <c r="O277" s="179"/>
    </row>
    <row r="278" ht="15.75" customHeight="1">
      <c r="I278" s="179"/>
      <c r="J278" s="179"/>
      <c r="K278" s="179"/>
      <c r="L278" s="179"/>
      <c r="M278" s="179"/>
      <c r="N278" s="179"/>
      <c r="O278" s="179"/>
    </row>
    <row r="279" ht="15.75" customHeight="1">
      <c r="I279" s="179"/>
      <c r="J279" s="179"/>
      <c r="K279" s="179"/>
      <c r="L279" s="179"/>
      <c r="M279" s="179"/>
      <c r="N279" s="179"/>
      <c r="O279" s="179"/>
    </row>
    <row r="280" ht="15.75" customHeight="1">
      <c r="I280" s="179"/>
      <c r="J280" s="179"/>
      <c r="K280" s="179"/>
      <c r="L280" s="179"/>
      <c r="M280" s="179"/>
      <c r="N280" s="179"/>
      <c r="O280" s="179"/>
    </row>
    <row r="281" ht="15.75" customHeight="1">
      <c r="I281" s="179"/>
      <c r="J281" s="179"/>
      <c r="K281" s="179"/>
      <c r="L281" s="179"/>
      <c r="M281" s="179"/>
      <c r="N281" s="179"/>
      <c r="O281" s="179"/>
    </row>
    <row r="282" ht="15.75" customHeight="1">
      <c r="I282" s="179"/>
      <c r="J282" s="179"/>
      <c r="K282" s="179"/>
      <c r="L282" s="179"/>
      <c r="M282" s="179"/>
      <c r="N282" s="179"/>
      <c r="O282" s="179"/>
    </row>
    <row r="283" ht="15.75" customHeight="1">
      <c r="I283" s="179"/>
      <c r="J283" s="179"/>
      <c r="K283" s="179"/>
      <c r="L283" s="179"/>
      <c r="M283" s="179"/>
      <c r="N283" s="179"/>
      <c r="O283" s="179"/>
    </row>
    <row r="284" ht="15.75" customHeight="1">
      <c r="I284" s="179"/>
      <c r="J284" s="179"/>
      <c r="K284" s="179"/>
      <c r="L284" s="179"/>
      <c r="M284" s="179"/>
      <c r="N284" s="179"/>
      <c r="O284" s="179"/>
    </row>
    <row r="285" ht="15.75" customHeight="1">
      <c r="I285" s="179"/>
      <c r="J285" s="179"/>
      <c r="K285" s="179"/>
      <c r="L285" s="179"/>
      <c r="M285" s="179"/>
      <c r="N285" s="179"/>
      <c r="O285" s="179"/>
    </row>
    <row r="286" ht="15.75" customHeight="1">
      <c r="I286" s="179"/>
      <c r="J286" s="179"/>
      <c r="K286" s="179"/>
      <c r="L286" s="179"/>
      <c r="M286" s="179"/>
      <c r="N286" s="179"/>
      <c r="O286" s="179"/>
    </row>
    <row r="287" ht="15.75" customHeight="1">
      <c r="I287" s="179"/>
      <c r="J287" s="179"/>
      <c r="K287" s="179"/>
      <c r="L287" s="179"/>
      <c r="M287" s="179"/>
      <c r="N287" s="179"/>
      <c r="O287" s="179"/>
    </row>
    <row r="288" ht="15.75" customHeight="1">
      <c r="I288" s="179"/>
      <c r="J288" s="179"/>
      <c r="K288" s="179"/>
      <c r="L288" s="179"/>
      <c r="M288" s="179"/>
      <c r="N288" s="179"/>
      <c r="O288" s="179"/>
    </row>
    <row r="289" ht="15.75" customHeight="1">
      <c r="I289" s="179"/>
      <c r="J289" s="179"/>
      <c r="K289" s="179"/>
      <c r="L289" s="179"/>
      <c r="M289" s="179"/>
      <c r="N289" s="179"/>
      <c r="O289" s="179"/>
    </row>
    <row r="290" ht="15.75" customHeight="1">
      <c r="I290" s="179"/>
      <c r="J290" s="179"/>
      <c r="K290" s="179"/>
      <c r="L290" s="179"/>
      <c r="M290" s="179"/>
      <c r="N290" s="179"/>
      <c r="O290" s="179"/>
    </row>
    <row r="291" ht="15.75" customHeight="1">
      <c r="I291" s="179"/>
      <c r="J291" s="179"/>
      <c r="K291" s="179"/>
      <c r="L291" s="179"/>
      <c r="M291" s="179"/>
      <c r="N291" s="179"/>
      <c r="O291" s="179"/>
    </row>
    <row r="292" ht="15.75" customHeight="1">
      <c r="I292" s="179"/>
      <c r="J292" s="179"/>
      <c r="K292" s="179"/>
      <c r="L292" s="179"/>
      <c r="M292" s="179"/>
      <c r="N292" s="179"/>
      <c r="O292" s="179"/>
    </row>
    <row r="293" ht="15.75" customHeight="1">
      <c r="I293" s="179"/>
      <c r="J293" s="179"/>
      <c r="K293" s="179"/>
      <c r="L293" s="179"/>
      <c r="M293" s="179"/>
      <c r="N293" s="179"/>
      <c r="O293" s="179"/>
    </row>
    <row r="294" ht="15.75" customHeight="1">
      <c r="I294" s="179"/>
      <c r="J294" s="179"/>
      <c r="K294" s="179"/>
      <c r="L294" s="179"/>
      <c r="M294" s="179"/>
      <c r="N294" s="179"/>
      <c r="O294" s="179"/>
    </row>
    <row r="295" ht="15.75" customHeight="1">
      <c r="I295" s="179"/>
      <c r="J295" s="179"/>
      <c r="K295" s="179"/>
      <c r="L295" s="179"/>
      <c r="M295" s="179"/>
      <c r="N295" s="179"/>
      <c r="O295" s="179"/>
    </row>
    <row r="296" ht="15.75" customHeight="1">
      <c r="I296" s="179"/>
      <c r="J296" s="179"/>
      <c r="K296" s="179"/>
      <c r="L296" s="179"/>
      <c r="M296" s="179"/>
      <c r="N296" s="179"/>
      <c r="O296" s="179"/>
    </row>
    <row r="297" ht="15.75" customHeight="1">
      <c r="I297" s="179"/>
      <c r="J297" s="179"/>
      <c r="K297" s="179"/>
      <c r="L297" s="179"/>
      <c r="M297" s="179"/>
      <c r="N297" s="179"/>
      <c r="O297" s="179"/>
    </row>
    <row r="298" ht="15.75" customHeight="1">
      <c r="I298" s="179"/>
      <c r="J298" s="179"/>
      <c r="K298" s="179"/>
      <c r="L298" s="179"/>
      <c r="M298" s="179"/>
      <c r="N298" s="179"/>
      <c r="O298" s="179"/>
    </row>
    <row r="299" ht="15.75" customHeight="1">
      <c r="I299" s="179"/>
      <c r="J299" s="179"/>
      <c r="K299" s="179"/>
      <c r="L299" s="179"/>
      <c r="M299" s="179"/>
      <c r="N299" s="179"/>
      <c r="O299" s="179"/>
    </row>
    <row r="300" ht="15.75" customHeight="1">
      <c r="I300" s="179"/>
      <c r="J300" s="179"/>
      <c r="K300" s="179"/>
      <c r="L300" s="179"/>
      <c r="M300" s="179"/>
      <c r="N300" s="179"/>
      <c r="O300" s="179"/>
    </row>
    <row r="301" ht="15.75" customHeight="1">
      <c r="I301" s="179"/>
      <c r="J301" s="179"/>
      <c r="K301" s="179"/>
      <c r="L301" s="179"/>
      <c r="M301" s="179"/>
      <c r="N301" s="179"/>
      <c r="O301" s="179"/>
    </row>
    <row r="302" ht="15.75" customHeight="1">
      <c r="I302" s="179"/>
      <c r="J302" s="179"/>
      <c r="K302" s="179"/>
      <c r="L302" s="179"/>
      <c r="M302" s="179"/>
      <c r="N302" s="179"/>
      <c r="O302" s="179"/>
    </row>
    <row r="303" ht="15.75" customHeight="1">
      <c r="I303" s="179"/>
      <c r="J303" s="179"/>
      <c r="K303" s="179"/>
      <c r="L303" s="179"/>
      <c r="M303" s="179"/>
      <c r="N303" s="179"/>
      <c r="O303" s="179"/>
    </row>
    <row r="304" ht="15.75" customHeight="1">
      <c r="I304" s="179"/>
      <c r="J304" s="179"/>
      <c r="K304" s="179"/>
      <c r="L304" s="179"/>
      <c r="M304" s="179"/>
      <c r="N304" s="179"/>
      <c r="O304" s="179"/>
    </row>
    <row r="305" ht="15.75" customHeight="1">
      <c r="I305" s="179"/>
      <c r="J305" s="179"/>
      <c r="K305" s="179"/>
      <c r="L305" s="179"/>
      <c r="M305" s="179"/>
      <c r="N305" s="179"/>
      <c r="O305" s="179"/>
    </row>
    <row r="306" ht="15.75" customHeight="1">
      <c r="I306" s="179"/>
      <c r="J306" s="179"/>
      <c r="K306" s="179"/>
      <c r="L306" s="179"/>
      <c r="M306" s="179"/>
      <c r="N306" s="179"/>
      <c r="O306" s="179"/>
    </row>
    <row r="307" ht="15.75" customHeight="1">
      <c r="I307" s="179"/>
      <c r="J307" s="179"/>
      <c r="K307" s="179"/>
      <c r="L307" s="179"/>
      <c r="M307" s="179"/>
      <c r="N307" s="179"/>
      <c r="O307" s="179"/>
    </row>
    <row r="308" ht="15.75" customHeight="1">
      <c r="I308" s="179"/>
      <c r="J308" s="179"/>
      <c r="K308" s="179"/>
      <c r="L308" s="179"/>
      <c r="M308" s="179"/>
      <c r="N308" s="179"/>
      <c r="O308" s="179"/>
    </row>
    <row r="309" ht="15.75" customHeight="1">
      <c r="I309" s="179"/>
      <c r="J309" s="179"/>
      <c r="K309" s="179"/>
      <c r="L309" s="179"/>
      <c r="M309" s="179"/>
      <c r="N309" s="179"/>
      <c r="O309" s="179"/>
    </row>
    <row r="310" ht="15.75" customHeight="1">
      <c r="I310" s="179"/>
      <c r="J310" s="179"/>
      <c r="K310" s="179"/>
      <c r="L310" s="179"/>
      <c r="M310" s="179"/>
      <c r="N310" s="179"/>
      <c r="O310" s="179"/>
    </row>
    <row r="311" ht="15.75" customHeight="1">
      <c r="I311" s="179"/>
      <c r="J311" s="179"/>
      <c r="K311" s="179"/>
      <c r="L311" s="179"/>
      <c r="M311" s="179"/>
      <c r="N311" s="179"/>
      <c r="O311" s="179"/>
    </row>
    <row r="312" ht="15.75" customHeight="1">
      <c r="I312" s="179"/>
      <c r="J312" s="179"/>
      <c r="K312" s="179"/>
      <c r="L312" s="179"/>
      <c r="M312" s="179"/>
      <c r="N312" s="179"/>
      <c r="O312" s="179"/>
    </row>
    <row r="313" ht="15.75" customHeight="1">
      <c r="I313" s="179"/>
      <c r="J313" s="179"/>
      <c r="K313" s="179"/>
      <c r="L313" s="179"/>
      <c r="M313" s="179"/>
      <c r="N313" s="179"/>
      <c r="O313" s="179"/>
    </row>
    <row r="314" ht="15.75" customHeight="1">
      <c r="I314" s="179"/>
      <c r="J314" s="179"/>
      <c r="K314" s="179"/>
      <c r="L314" s="179"/>
      <c r="M314" s="179"/>
      <c r="N314" s="179"/>
      <c r="O314" s="179"/>
    </row>
    <row r="315" ht="15.75" customHeight="1">
      <c r="I315" s="179"/>
      <c r="J315" s="179"/>
      <c r="K315" s="179"/>
      <c r="L315" s="179"/>
      <c r="M315" s="179"/>
      <c r="N315" s="179"/>
      <c r="O315" s="179"/>
    </row>
    <row r="316" ht="15.75" customHeight="1">
      <c r="I316" s="179"/>
      <c r="J316" s="179"/>
      <c r="K316" s="179"/>
      <c r="L316" s="179"/>
      <c r="M316" s="179"/>
      <c r="N316" s="179"/>
      <c r="O316" s="179"/>
    </row>
    <row r="317" ht="15.75" customHeight="1">
      <c r="I317" s="179"/>
      <c r="J317" s="179"/>
      <c r="K317" s="179"/>
      <c r="L317" s="179"/>
      <c r="M317" s="179"/>
      <c r="N317" s="179"/>
      <c r="O317" s="179"/>
    </row>
    <row r="318" ht="15.75" customHeight="1">
      <c r="I318" s="179"/>
      <c r="J318" s="179"/>
      <c r="K318" s="179"/>
      <c r="L318" s="179"/>
      <c r="M318" s="179"/>
      <c r="N318" s="179"/>
      <c r="O318" s="179"/>
    </row>
    <row r="319" ht="15.75" customHeight="1">
      <c r="I319" s="179"/>
      <c r="J319" s="179"/>
      <c r="K319" s="179"/>
      <c r="L319" s="179"/>
      <c r="M319" s="179"/>
      <c r="N319" s="179"/>
      <c r="O319" s="179"/>
    </row>
    <row r="320" ht="15.75" customHeight="1">
      <c r="I320" s="179"/>
      <c r="J320" s="179"/>
      <c r="K320" s="179"/>
      <c r="L320" s="179"/>
      <c r="M320" s="179"/>
      <c r="N320" s="179"/>
      <c r="O320" s="179"/>
    </row>
    <row r="321" ht="15.75" customHeight="1">
      <c r="I321" s="179"/>
      <c r="J321" s="179"/>
      <c r="K321" s="179"/>
      <c r="L321" s="179"/>
      <c r="M321" s="179"/>
      <c r="N321" s="179"/>
      <c r="O321" s="179"/>
    </row>
    <row r="322" ht="15.75" customHeight="1">
      <c r="I322" s="179"/>
      <c r="J322" s="179"/>
      <c r="K322" s="179"/>
      <c r="L322" s="179"/>
      <c r="M322" s="179"/>
      <c r="N322" s="179"/>
      <c r="O322" s="179"/>
    </row>
    <row r="323" ht="15.75" customHeight="1">
      <c r="I323" s="179"/>
      <c r="J323" s="179"/>
      <c r="K323" s="179"/>
      <c r="L323" s="179"/>
      <c r="M323" s="179"/>
      <c r="N323" s="179"/>
      <c r="O323" s="179"/>
    </row>
    <row r="324" ht="15.75" customHeight="1">
      <c r="I324" s="179"/>
      <c r="J324" s="179"/>
      <c r="K324" s="179"/>
      <c r="L324" s="179"/>
      <c r="M324" s="179"/>
      <c r="N324" s="179"/>
      <c r="O324" s="179"/>
    </row>
    <row r="325" ht="15.75" customHeight="1">
      <c r="I325" s="179"/>
      <c r="J325" s="179"/>
      <c r="K325" s="179"/>
      <c r="L325" s="179"/>
      <c r="M325" s="179"/>
      <c r="N325" s="179"/>
      <c r="O325" s="179"/>
    </row>
    <row r="326" ht="15.75" customHeight="1">
      <c r="I326" s="179"/>
      <c r="J326" s="179"/>
      <c r="K326" s="179"/>
      <c r="L326" s="179"/>
      <c r="M326" s="179"/>
      <c r="N326" s="179"/>
      <c r="O326" s="179"/>
    </row>
    <row r="327" ht="15.75" customHeight="1">
      <c r="I327" s="179"/>
      <c r="J327" s="179"/>
      <c r="K327" s="179"/>
      <c r="L327" s="179"/>
      <c r="M327" s="179"/>
      <c r="N327" s="179"/>
      <c r="O327" s="179"/>
    </row>
    <row r="328" ht="15.75" customHeight="1">
      <c r="I328" s="179"/>
      <c r="J328" s="179"/>
      <c r="K328" s="179"/>
      <c r="L328" s="179"/>
      <c r="M328" s="179"/>
      <c r="N328" s="179"/>
      <c r="O328" s="179"/>
    </row>
    <row r="329" ht="15.75" customHeight="1">
      <c r="I329" s="179"/>
      <c r="J329" s="179"/>
      <c r="K329" s="179"/>
      <c r="L329" s="179"/>
      <c r="M329" s="179"/>
      <c r="N329" s="179"/>
      <c r="O329" s="179"/>
    </row>
    <row r="330" ht="15.75" customHeight="1">
      <c r="I330" s="179"/>
      <c r="J330" s="179"/>
      <c r="K330" s="179"/>
      <c r="L330" s="179"/>
      <c r="M330" s="179"/>
      <c r="N330" s="179"/>
      <c r="O330" s="179"/>
    </row>
    <row r="331" ht="15.75" customHeight="1">
      <c r="I331" s="179"/>
      <c r="J331" s="179"/>
      <c r="K331" s="179"/>
      <c r="L331" s="179"/>
      <c r="M331" s="179"/>
      <c r="N331" s="179"/>
      <c r="O331" s="179"/>
    </row>
    <row r="332" ht="15.75" customHeight="1">
      <c r="I332" s="179"/>
      <c r="J332" s="179"/>
      <c r="K332" s="179"/>
      <c r="L332" s="179"/>
      <c r="M332" s="179"/>
      <c r="N332" s="179"/>
      <c r="O332" s="179"/>
    </row>
    <row r="333" ht="15.75" customHeight="1">
      <c r="I333" s="179"/>
      <c r="J333" s="179"/>
      <c r="K333" s="179"/>
      <c r="L333" s="179"/>
      <c r="M333" s="179"/>
      <c r="N333" s="179"/>
      <c r="O333" s="179"/>
    </row>
    <row r="334" ht="15.75" customHeight="1">
      <c r="I334" s="179"/>
      <c r="J334" s="179"/>
      <c r="K334" s="179"/>
      <c r="L334" s="179"/>
      <c r="M334" s="179"/>
      <c r="N334" s="179"/>
      <c r="O334" s="179"/>
    </row>
    <row r="335" ht="15.75" customHeight="1">
      <c r="I335" s="179"/>
      <c r="J335" s="179"/>
      <c r="K335" s="179"/>
      <c r="L335" s="179"/>
      <c r="M335" s="179"/>
      <c r="N335" s="179"/>
      <c r="O335" s="179"/>
    </row>
    <row r="336" ht="15.75" customHeight="1">
      <c r="I336" s="179"/>
      <c r="J336" s="179"/>
      <c r="K336" s="179"/>
      <c r="L336" s="179"/>
      <c r="M336" s="179"/>
      <c r="N336" s="179"/>
      <c r="O336" s="179"/>
    </row>
    <row r="337" ht="15.75" customHeight="1">
      <c r="I337" s="179"/>
      <c r="J337" s="179"/>
      <c r="K337" s="179"/>
      <c r="L337" s="179"/>
      <c r="M337" s="179"/>
      <c r="N337" s="179"/>
      <c r="O337" s="179"/>
    </row>
    <row r="338" ht="15.75" customHeight="1">
      <c r="I338" s="179"/>
      <c r="J338" s="179"/>
      <c r="K338" s="179"/>
      <c r="L338" s="179"/>
      <c r="M338" s="179"/>
      <c r="N338" s="179"/>
      <c r="O338" s="179"/>
    </row>
    <row r="339" ht="15.75" customHeight="1">
      <c r="I339" s="179"/>
      <c r="J339" s="179"/>
      <c r="K339" s="179"/>
      <c r="L339" s="179"/>
      <c r="M339" s="179"/>
      <c r="N339" s="179"/>
      <c r="O339" s="179"/>
    </row>
    <row r="340" ht="15.75" customHeight="1">
      <c r="I340" s="179"/>
      <c r="J340" s="179"/>
      <c r="K340" s="179"/>
      <c r="L340" s="179"/>
      <c r="M340" s="179"/>
      <c r="N340" s="179"/>
      <c r="O340" s="179"/>
    </row>
    <row r="341" ht="15.75" customHeight="1">
      <c r="I341" s="179"/>
      <c r="J341" s="179"/>
      <c r="K341" s="179"/>
      <c r="L341" s="179"/>
      <c r="M341" s="179"/>
      <c r="N341" s="179"/>
      <c r="O341" s="179"/>
    </row>
    <row r="342" ht="15.75" customHeight="1">
      <c r="I342" s="179"/>
      <c r="J342" s="179"/>
      <c r="K342" s="179"/>
      <c r="L342" s="179"/>
      <c r="M342" s="179"/>
      <c r="N342" s="179"/>
      <c r="O342" s="179"/>
    </row>
    <row r="343" ht="15.75" customHeight="1">
      <c r="I343" s="179"/>
      <c r="J343" s="179"/>
      <c r="K343" s="179"/>
      <c r="L343" s="179"/>
      <c r="M343" s="179"/>
      <c r="N343" s="179"/>
      <c r="O343" s="179"/>
    </row>
    <row r="344" ht="15.75" customHeight="1">
      <c r="I344" s="179"/>
      <c r="J344" s="179"/>
      <c r="K344" s="179"/>
      <c r="L344" s="179"/>
      <c r="M344" s="179"/>
      <c r="N344" s="179"/>
      <c r="O344" s="179"/>
    </row>
    <row r="345" ht="15.75" customHeight="1">
      <c r="I345" s="179"/>
      <c r="J345" s="179"/>
      <c r="K345" s="179"/>
      <c r="L345" s="179"/>
      <c r="M345" s="179"/>
      <c r="N345" s="179"/>
      <c r="O345" s="179"/>
    </row>
    <row r="346" ht="15.75" customHeight="1">
      <c r="I346" s="179"/>
      <c r="J346" s="179"/>
      <c r="K346" s="179"/>
      <c r="L346" s="179"/>
      <c r="M346" s="179"/>
      <c r="N346" s="179"/>
      <c r="O346" s="179"/>
    </row>
    <row r="347" ht="15.75" customHeight="1">
      <c r="I347" s="179"/>
      <c r="J347" s="179"/>
      <c r="K347" s="179"/>
      <c r="L347" s="179"/>
      <c r="M347" s="179"/>
      <c r="N347" s="179"/>
      <c r="O347" s="179"/>
    </row>
    <row r="348" ht="15.75" customHeight="1">
      <c r="I348" s="179"/>
      <c r="J348" s="179"/>
      <c r="K348" s="179"/>
      <c r="L348" s="179"/>
      <c r="M348" s="179"/>
      <c r="N348" s="179"/>
      <c r="O348" s="179"/>
    </row>
    <row r="349" ht="15.75" customHeight="1">
      <c r="I349" s="179"/>
      <c r="J349" s="179"/>
      <c r="K349" s="179"/>
      <c r="L349" s="179"/>
      <c r="M349" s="179"/>
      <c r="N349" s="179"/>
      <c r="O349" s="179"/>
    </row>
    <row r="350" ht="15.75" customHeight="1">
      <c r="I350" s="179"/>
      <c r="J350" s="179"/>
      <c r="K350" s="179"/>
      <c r="L350" s="179"/>
      <c r="M350" s="179"/>
      <c r="N350" s="179"/>
      <c r="O350" s="179"/>
    </row>
    <row r="351" ht="15.75" customHeight="1">
      <c r="I351" s="179"/>
      <c r="J351" s="179"/>
      <c r="K351" s="179"/>
      <c r="L351" s="179"/>
      <c r="M351" s="179"/>
      <c r="N351" s="179"/>
      <c r="O351" s="179"/>
    </row>
    <row r="352" ht="15.75" customHeight="1">
      <c r="I352" s="179"/>
      <c r="J352" s="179"/>
      <c r="K352" s="179"/>
      <c r="L352" s="179"/>
      <c r="M352" s="179"/>
      <c r="N352" s="179"/>
      <c r="O352" s="179"/>
    </row>
    <row r="353" ht="15.75" customHeight="1">
      <c r="I353" s="179"/>
      <c r="J353" s="179"/>
      <c r="K353" s="179"/>
      <c r="L353" s="179"/>
      <c r="M353" s="179"/>
      <c r="N353" s="179"/>
      <c r="O353" s="179"/>
    </row>
    <row r="354" ht="15.75" customHeight="1">
      <c r="I354" s="179"/>
      <c r="J354" s="179"/>
      <c r="K354" s="179"/>
      <c r="L354" s="179"/>
      <c r="M354" s="179"/>
      <c r="N354" s="179"/>
      <c r="O354" s="179"/>
    </row>
    <row r="355" ht="15.75" customHeight="1">
      <c r="I355" s="179"/>
      <c r="J355" s="179"/>
      <c r="K355" s="179"/>
      <c r="L355" s="179"/>
      <c r="M355" s="179"/>
      <c r="N355" s="179"/>
      <c r="O355" s="179"/>
    </row>
    <row r="356" ht="15.75" customHeight="1">
      <c r="I356" s="179"/>
      <c r="J356" s="179"/>
      <c r="K356" s="179"/>
      <c r="L356" s="179"/>
      <c r="M356" s="179"/>
      <c r="N356" s="179"/>
      <c r="O356" s="179"/>
    </row>
    <row r="357" ht="15.75" customHeight="1">
      <c r="I357" s="179"/>
      <c r="J357" s="179"/>
      <c r="K357" s="179"/>
      <c r="L357" s="179"/>
      <c r="M357" s="179"/>
      <c r="N357" s="179"/>
      <c r="O357" s="179"/>
    </row>
    <row r="358" ht="15.75" customHeight="1">
      <c r="I358" s="179"/>
      <c r="J358" s="179"/>
      <c r="K358" s="179"/>
      <c r="L358" s="179"/>
      <c r="M358" s="179"/>
      <c r="N358" s="179"/>
      <c r="O358" s="179"/>
    </row>
    <row r="359" ht="15.75" customHeight="1">
      <c r="I359" s="179"/>
      <c r="J359" s="179"/>
      <c r="K359" s="179"/>
      <c r="L359" s="179"/>
      <c r="M359" s="179"/>
      <c r="N359" s="179"/>
      <c r="O359" s="179"/>
    </row>
    <row r="360" ht="15.75" customHeight="1">
      <c r="I360" s="179"/>
      <c r="J360" s="179"/>
      <c r="K360" s="179"/>
      <c r="L360" s="179"/>
      <c r="M360" s="179"/>
      <c r="N360" s="179"/>
      <c r="O360" s="179"/>
    </row>
    <row r="361" ht="15.75" customHeight="1">
      <c r="I361" s="179"/>
      <c r="J361" s="179"/>
      <c r="K361" s="179"/>
      <c r="L361" s="179"/>
      <c r="M361" s="179"/>
      <c r="N361" s="179"/>
      <c r="O361" s="179"/>
    </row>
    <row r="362" ht="15.75" customHeight="1">
      <c r="I362" s="179"/>
      <c r="J362" s="179"/>
      <c r="K362" s="179"/>
      <c r="L362" s="179"/>
      <c r="M362" s="179"/>
      <c r="N362" s="179"/>
      <c r="O362" s="179"/>
    </row>
    <row r="363" ht="15.75" customHeight="1">
      <c r="I363" s="179"/>
      <c r="J363" s="179"/>
      <c r="K363" s="179"/>
      <c r="L363" s="179"/>
      <c r="M363" s="179"/>
      <c r="N363" s="179"/>
      <c r="O363" s="179"/>
    </row>
    <row r="364" ht="15.75" customHeight="1">
      <c r="I364" s="179"/>
      <c r="J364" s="179"/>
      <c r="K364" s="179"/>
      <c r="L364" s="179"/>
      <c r="M364" s="179"/>
      <c r="N364" s="179"/>
      <c r="O364" s="179"/>
    </row>
    <row r="365" ht="15.75" customHeight="1">
      <c r="I365" s="179"/>
      <c r="J365" s="179"/>
      <c r="K365" s="179"/>
      <c r="L365" s="179"/>
      <c r="M365" s="179"/>
      <c r="N365" s="179"/>
      <c r="O365" s="179"/>
    </row>
    <row r="366" ht="15.75" customHeight="1">
      <c r="I366" s="179"/>
      <c r="J366" s="179"/>
      <c r="K366" s="179"/>
      <c r="L366" s="179"/>
      <c r="M366" s="179"/>
      <c r="N366" s="179"/>
      <c r="O366" s="179"/>
    </row>
    <row r="367" ht="15.75" customHeight="1">
      <c r="I367" s="179"/>
      <c r="J367" s="179"/>
      <c r="K367" s="179"/>
      <c r="L367" s="179"/>
      <c r="M367" s="179"/>
      <c r="N367" s="179"/>
      <c r="O367" s="179"/>
    </row>
    <row r="368" ht="15.75" customHeight="1">
      <c r="I368" s="179"/>
      <c r="J368" s="179"/>
      <c r="K368" s="179"/>
      <c r="L368" s="179"/>
      <c r="M368" s="179"/>
      <c r="N368" s="179"/>
      <c r="O368" s="179"/>
    </row>
    <row r="369" ht="15.75" customHeight="1">
      <c r="I369" s="179"/>
      <c r="J369" s="179"/>
      <c r="K369" s="179"/>
      <c r="L369" s="179"/>
      <c r="M369" s="179"/>
      <c r="N369" s="179"/>
      <c r="O369" s="179"/>
    </row>
    <row r="370" ht="15.75" customHeight="1">
      <c r="I370" s="179"/>
      <c r="J370" s="179"/>
      <c r="K370" s="179"/>
      <c r="L370" s="179"/>
      <c r="M370" s="179"/>
      <c r="N370" s="179"/>
      <c r="O370" s="179"/>
    </row>
    <row r="371" ht="15.75" customHeight="1">
      <c r="I371" s="179"/>
      <c r="J371" s="179"/>
      <c r="K371" s="179"/>
      <c r="L371" s="179"/>
      <c r="M371" s="179"/>
      <c r="N371" s="179"/>
      <c r="O371" s="179"/>
    </row>
    <row r="372" ht="15.75" customHeight="1">
      <c r="I372" s="179"/>
      <c r="J372" s="179"/>
      <c r="K372" s="179"/>
      <c r="L372" s="179"/>
      <c r="M372" s="179"/>
      <c r="N372" s="179"/>
      <c r="O372" s="179"/>
    </row>
    <row r="373" ht="15.75" customHeight="1">
      <c r="I373" s="179"/>
      <c r="J373" s="179"/>
      <c r="K373" s="179"/>
      <c r="L373" s="179"/>
      <c r="M373" s="179"/>
      <c r="N373" s="179"/>
      <c r="O373" s="179"/>
    </row>
    <row r="374" ht="15.75" customHeight="1">
      <c r="I374" s="179"/>
      <c r="J374" s="179"/>
      <c r="K374" s="179"/>
      <c r="L374" s="179"/>
      <c r="M374" s="179"/>
      <c r="N374" s="179"/>
      <c r="O374" s="179"/>
    </row>
    <row r="375" ht="15.75" customHeight="1">
      <c r="I375" s="179"/>
      <c r="J375" s="179"/>
      <c r="K375" s="179"/>
      <c r="L375" s="179"/>
      <c r="M375" s="179"/>
      <c r="N375" s="179"/>
      <c r="O375" s="179"/>
    </row>
    <row r="376" ht="15.75" customHeight="1">
      <c r="I376" s="179"/>
      <c r="J376" s="179"/>
      <c r="K376" s="179"/>
      <c r="L376" s="179"/>
      <c r="M376" s="179"/>
      <c r="N376" s="179"/>
      <c r="O376" s="179"/>
    </row>
    <row r="377" ht="15.75" customHeight="1">
      <c r="I377" s="179"/>
      <c r="J377" s="179"/>
      <c r="K377" s="179"/>
      <c r="L377" s="179"/>
      <c r="M377" s="179"/>
      <c r="N377" s="179"/>
      <c r="O377" s="179"/>
    </row>
    <row r="378" ht="15.75" customHeight="1">
      <c r="I378" s="179"/>
      <c r="J378" s="179"/>
      <c r="K378" s="179"/>
      <c r="L378" s="179"/>
      <c r="M378" s="179"/>
      <c r="N378" s="179"/>
      <c r="O378" s="179"/>
    </row>
    <row r="379" ht="15.75" customHeight="1">
      <c r="I379" s="179"/>
      <c r="J379" s="179"/>
      <c r="K379" s="179"/>
      <c r="L379" s="179"/>
      <c r="M379" s="179"/>
      <c r="N379" s="179"/>
      <c r="O379" s="179"/>
    </row>
    <row r="380" ht="15.75" customHeight="1">
      <c r="I380" s="179"/>
      <c r="J380" s="179"/>
      <c r="K380" s="179"/>
      <c r="L380" s="179"/>
      <c r="M380" s="179"/>
      <c r="N380" s="179"/>
      <c r="O380" s="179"/>
    </row>
    <row r="381" ht="15.75" customHeight="1">
      <c r="I381" s="179"/>
      <c r="J381" s="179"/>
      <c r="K381" s="179"/>
      <c r="L381" s="179"/>
      <c r="M381" s="179"/>
      <c r="N381" s="179"/>
      <c r="O381" s="179"/>
    </row>
    <row r="382" ht="15.75" customHeight="1">
      <c r="I382" s="179"/>
      <c r="J382" s="179"/>
      <c r="K382" s="179"/>
      <c r="L382" s="179"/>
      <c r="M382" s="179"/>
      <c r="N382" s="179"/>
      <c r="O382" s="179"/>
    </row>
    <row r="383" ht="15.75" customHeight="1">
      <c r="I383" s="179"/>
      <c r="J383" s="179"/>
      <c r="K383" s="179"/>
      <c r="L383" s="179"/>
      <c r="M383" s="179"/>
      <c r="N383" s="179"/>
      <c r="O383" s="179"/>
    </row>
    <row r="384" ht="15.75" customHeight="1">
      <c r="I384" s="179"/>
      <c r="J384" s="179"/>
      <c r="K384" s="179"/>
      <c r="L384" s="179"/>
      <c r="M384" s="179"/>
      <c r="N384" s="179"/>
      <c r="O384" s="179"/>
    </row>
    <row r="385" ht="15.75" customHeight="1">
      <c r="I385" s="179"/>
      <c r="J385" s="179"/>
      <c r="K385" s="179"/>
      <c r="L385" s="179"/>
      <c r="M385" s="179"/>
      <c r="N385" s="179"/>
      <c r="O385" s="179"/>
    </row>
    <row r="386" ht="15.75" customHeight="1">
      <c r="I386" s="179"/>
      <c r="J386" s="179"/>
      <c r="K386" s="179"/>
      <c r="L386" s="179"/>
      <c r="M386" s="179"/>
      <c r="N386" s="179"/>
      <c r="O386" s="179"/>
    </row>
    <row r="387" ht="15.75" customHeight="1">
      <c r="I387" s="179"/>
      <c r="J387" s="179"/>
      <c r="K387" s="179"/>
      <c r="L387" s="179"/>
      <c r="M387" s="179"/>
      <c r="N387" s="179"/>
      <c r="O387" s="179"/>
    </row>
    <row r="388" ht="15.75" customHeight="1">
      <c r="I388" s="179"/>
      <c r="J388" s="179"/>
      <c r="K388" s="179"/>
      <c r="L388" s="179"/>
      <c r="M388" s="179"/>
      <c r="N388" s="179"/>
      <c r="O388" s="179"/>
    </row>
    <row r="389" ht="15.75" customHeight="1">
      <c r="I389" s="179"/>
      <c r="J389" s="179"/>
      <c r="K389" s="179"/>
      <c r="L389" s="179"/>
      <c r="M389" s="179"/>
      <c r="N389" s="179"/>
      <c r="O389" s="179"/>
    </row>
    <row r="390" ht="15.75" customHeight="1">
      <c r="I390" s="179"/>
      <c r="J390" s="179"/>
      <c r="K390" s="179"/>
      <c r="L390" s="179"/>
      <c r="M390" s="179"/>
      <c r="N390" s="179"/>
      <c r="O390" s="179"/>
    </row>
    <row r="391" ht="15.75" customHeight="1">
      <c r="I391" s="179"/>
      <c r="J391" s="179"/>
      <c r="K391" s="179"/>
      <c r="L391" s="179"/>
      <c r="M391" s="179"/>
      <c r="N391" s="179"/>
      <c r="O391" s="179"/>
    </row>
    <row r="392" ht="15.75" customHeight="1">
      <c r="I392" s="179"/>
      <c r="J392" s="179"/>
      <c r="K392" s="179"/>
      <c r="L392" s="179"/>
      <c r="M392" s="179"/>
      <c r="N392" s="179"/>
      <c r="O392" s="179"/>
    </row>
    <row r="393" ht="15.75" customHeight="1">
      <c r="I393" s="179"/>
      <c r="J393" s="179"/>
      <c r="K393" s="179"/>
      <c r="L393" s="179"/>
      <c r="M393" s="179"/>
      <c r="N393" s="179"/>
      <c r="O393" s="179"/>
    </row>
    <row r="394" ht="15.75" customHeight="1">
      <c r="I394" s="179"/>
      <c r="J394" s="179"/>
      <c r="K394" s="179"/>
      <c r="L394" s="179"/>
      <c r="M394" s="179"/>
      <c r="N394" s="179"/>
      <c r="O394" s="179"/>
    </row>
    <row r="395" ht="15.75" customHeight="1">
      <c r="I395" s="179"/>
      <c r="J395" s="179"/>
      <c r="K395" s="179"/>
      <c r="L395" s="179"/>
      <c r="M395" s="179"/>
      <c r="N395" s="179"/>
      <c r="O395" s="179"/>
    </row>
    <row r="396" ht="15.75" customHeight="1">
      <c r="I396" s="179"/>
      <c r="J396" s="179"/>
      <c r="K396" s="179"/>
      <c r="L396" s="179"/>
      <c r="M396" s="179"/>
      <c r="N396" s="179"/>
      <c r="O396" s="179"/>
    </row>
    <row r="397" ht="15.75" customHeight="1">
      <c r="I397" s="179"/>
      <c r="J397" s="179"/>
      <c r="K397" s="179"/>
      <c r="L397" s="179"/>
      <c r="M397" s="179"/>
      <c r="N397" s="179"/>
      <c r="O397" s="179"/>
    </row>
    <row r="398" ht="15.75" customHeight="1">
      <c r="I398" s="179"/>
      <c r="J398" s="179"/>
      <c r="K398" s="179"/>
      <c r="L398" s="179"/>
      <c r="M398" s="179"/>
      <c r="N398" s="179"/>
      <c r="O398" s="179"/>
    </row>
    <row r="399" ht="15.75" customHeight="1">
      <c r="I399" s="179"/>
      <c r="J399" s="179"/>
      <c r="K399" s="179"/>
      <c r="L399" s="179"/>
      <c r="M399" s="179"/>
      <c r="N399" s="179"/>
      <c r="O399" s="179"/>
    </row>
    <row r="400" ht="15.75" customHeight="1">
      <c r="I400" s="179"/>
      <c r="J400" s="179"/>
      <c r="K400" s="179"/>
      <c r="L400" s="179"/>
      <c r="M400" s="179"/>
      <c r="N400" s="179"/>
      <c r="O400" s="179"/>
    </row>
    <row r="401" ht="15.75" customHeight="1">
      <c r="I401" s="179"/>
      <c r="J401" s="179"/>
      <c r="K401" s="179"/>
      <c r="L401" s="179"/>
      <c r="M401" s="179"/>
      <c r="N401" s="179"/>
      <c r="O401" s="179"/>
    </row>
    <row r="402" ht="15.75" customHeight="1">
      <c r="I402" s="179"/>
      <c r="J402" s="179"/>
      <c r="K402" s="179"/>
      <c r="L402" s="179"/>
      <c r="M402" s="179"/>
      <c r="N402" s="179"/>
      <c r="O402" s="179"/>
    </row>
    <row r="403" ht="15.75" customHeight="1">
      <c r="I403" s="179"/>
      <c r="J403" s="179"/>
      <c r="K403" s="179"/>
      <c r="L403" s="179"/>
      <c r="M403" s="179"/>
      <c r="N403" s="179"/>
      <c r="O403" s="179"/>
    </row>
    <row r="404" ht="15.75" customHeight="1">
      <c r="I404" s="179"/>
      <c r="J404" s="179"/>
      <c r="K404" s="179"/>
      <c r="L404" s="179"/>
      <c r="M404" s="179"/>
      <c r="N404" s="179"/>
      <c r="O404" s="179"/>
    </row>
    <row r="405" ht="15.75" customHeight="1">
      <c r="I405" s="179"/>
      <c r="J405" s="179"/>
      <c r="K405" s="179"/>
      <c r="L405" s="179"/>
      <c r="M405" s="179"/>
      <c r="N405" s="179"/>
      <c r="O405" s="179"/>
    </row>
    <row r="406" ht="15.75" customHeight="1">
      <c r="I406" s="179"/>
      <c r="J406" s="179"/>
      <c r="K406" s="179"/>
      <c r="L406" s="179"/>
      <c r="M406" s="179"/>
      <c r="N406" s="179"/>
      <c r="O406" s="179"/>
    </row>
    <row r="407" ht="15.75" customHeight="1">
      <c r="I407" s="179"/>
      <c r="J407" s="179"/>
      <c r="K407" s="179"/>
      <c r="L407" s="179"/>
      <c r="M407" s="179"/>
      <c r="N407" s="179"/>
      <c r="O407" s="179"/>
    </row>
    <row r="408" ht="15.75" customHeight="1">
      <c r="I408" s="179"/>
      <c r="J408" s="179"/>
      <c r="K408" s="179"/>
      <c r="L408" s="179"/>
      <c r="M408" s="179"/>
      <c r="N408" s="179"/>
      <c r="O408" s="179"/>
    </row>
    <row r="409" ht="15.75" customHeight="1">
      <c r="I409" s="179"/>
      <c r="J409" s="179"/>
      <c r="K409" s="179"/>
      <c r="L409" s="179"/>
      <c r="M409" s="179"/>
      <c r="N409" s="179"/>
      <c r="O409" s="179"/>
    </row>
    <row r="410" ht="15.75" customHeight="1">
      <c r="I410" s="179"/>
      <c r="J410" s="179"/>
      <c r="K410" s="179"/>
      <c r="L410" s="179"/>
      <c r="M410" s="179"/>
      <c r="N410" s="179"/>
      <c r="O410" s="179"/>
    </row>
    <row r="411" ht="15.75" customHeight="1">
      <c r="I411" s="179"/>
      <c r="J411" s="179"/>
      <c r="K411" s="179"/>
      <c r="L411" s="179"/>
      <c r="M411" s="179"/>
      <c r="N411" s="179"/>
      <c r="O411" s="179"/>
    </row>
    <row r="412" ht="15.75" customHeight="1">
      <c r="I412" s="179"/>
      <c r="J412" s="179"/>
      <c r="K412" s="179"/>
      <c r="L412" s="179"/>
      <c r="M412" s="179"/>
      <c r="N412" s="179"/>
      <c r="O412" s="179"/>
    </row>
    <row r="413" ht="15.75" customHeight="1">
      <c r="I413" s="179"/>
      <c r="J413" s="179"/>
      <c r="K413" s="179"/>
      <c r="L413" s="179"/>
      <c r="M413" s="179"/>
      <c r="N413" s="179"/>
      <c r="O413" s="179"/>
    </row>
    <row r="414" ht="15.75" customHeight="1">
      <c r="I414" s="179"/>
      <c r="J414" s="179"/>
      <c r="K414" s="179"/>
      <c r="L414" s="179"/>
      <c r="M414" s="179"/>
      <c r="N414" s="179"/>
      <c r="O414" s="179"/>
    </row>
    <row r="415" ht="15.75" customHeight="1">
      <c r="I415" s="179"/>
      <c r="J415" s="179"/>
      <c r="K415" s="179"/>
      <c r="L415" s="179"/>
      <c r="M415" s="179"/>
      <c r="N415" s="179"/>
      <c r="O415" s="179"/>
    </row>
    <row r="416" ht="15.75" customHeight="1">
      <c r="I416" s="179"/>
      <c r="J416" s="179"/>
      <c r="K416" s="179"/>
      <c r="L416" s="179"/>
      <c r="M416" s="179"/>
      <c r="N416" s="179"/>
      <c r="O416" s="179"/>
    </row>
    <row r="417" ht="15.75" customHeight="1">
      <c r="I417" s="179"/>
      <c r="J417" s="179"/>
      <c r="K417" s="179"/>
      <c r="L417" s="179"/>
      <c r="M417" s="179"/>
      <c r="N417" s="179"/>
      <c r="O417" s="179"/>
    </row>
    <row r="418" ht="15.75" customHeight="1">
      <c r="I418" s="179"/>
      <c r="J418" s="179"/>
      <c r="K418" s="179"/>
      <c r="L418" s="179"/>
      <c r="M418" s="179"/>
      <c r="N418" s="179"/>
      <c r="O418" s="179"/>
    </row>
    <row r="419" ht="15.75" customHeight="1">
      <c r="I419" s="179"/>
      <c r="J419" s="179"/>
      <c r="K419" s="179"/>
      <c r="L419" s="179"/>
      <c r="M419" s="179"/>
      <c r="N419" s="179"/>
      <c r="O419" s="179"/>
    </row>
    <row r="420" ht="15.75" customHeight="1">
      <c r="I420" s="179"/>
      <c r="J420" s="179"/>
      <c r="K420" s="179"/>
      <c r="L420" s="179"/>
      <c r="M420" s="179"/>
      <c r="N420" s="179"/>
      <c r="O420" s="179"/>
    </row>
    <row r="421" ht="15.75" customHeight="1">
      <c r="I421" s="179"/>
      <c r="J421" s="179"/>
      <c r="K421" s="179"/>
      <c r="L421" s="179"/>
      <c r="M421" s="179"/>
      <c r="N421" s="179"/>
      <c r="O421" s="179"/>
    </row>
    <row r="422" ht="15.75" customHeight="1">
      <c r="I422" s="179"/>
      <c r="J422" s="179"/>
      <c r="K422" s="179"/>
      <c r="L422" s="179"/>
      <c r="M422" s="179"/>
      <c r="N422" s="179"/>
      <c r="O422" s="179"/>
    </row>
    <row r="423" ht="15.75" customHeight="1">
      <c r="I423" s="179"/>
      <c r="J423" s="179"/>
      <c r="K423" s="179"/>
      <c r="L423" s="179"/>
      <c r="M423" s="179"/>
      <c r="N423" s="179"/>
      <c r="O423" s="179"/>
    </row>
    <row r="424" ht="15.75" customHeight="1">
      <c r="I424" s="179"/>
      <c r="J424" s="179"/>
      <c r="K424" s="179"/>
      <c r="L424" s="179"/>
      <c r="M424" s="179"/>
      <c r="N424" s="179"/>
      <c r="O424" s="179"/>
    </row>
    <row r="425" ht="15.75" customHeight="1">
      <c r="I425" s="179"/>
      <c r="J425" s="179"/>
      <c r="K425" s="179"/>
      <c r="L425" s="179"/>
      <c r="M425" s="179"/>
      <c r="N425" s="179"/>
      <c r="O425" s="179"/>
    </row>
    <row r="426" ht="15.75" customHeight="1">
      <c r="I426" s="179"/>
      <c r="J426" s="179"/>
      <c r="K426" s="179"/>
      <c r="L426" s="179"/>
      <c r="M426" s="179"/>
      <c r="N426" s="179"/>
      <c r="O426" s="179"/>
    </row>
    <row r="427" ht="15.75" customHeight="1">
      <c r="I427" s="179"/>
      <c r="J427" s="179"/>
      <c r="K427" s="179"/>
      <c r="L427" s="179"/>
      <c r="M427" s="179"/>
      <c r="N427" s="179"/>
      <c r="O427" s="179"/>
    </row>
    <row r="428" ht="15.75" customHeight="1">
      <c r="I428" s="179"/>
      <c r="J428" s="179"/>
      <c r="K428" s="179"/>
      <c r="L428" s="179"/>
      <c r="M428" s="179"/>
      <c r="N428" s="179"/>
      <c r="O428" s="179"/>
    </row>
    <row r="429" ht="15.75" customHeight="1">
      <c r="I429" s="179"/>
      <c r="J429" s="179"/>
      <c r="K429" s="179"/>
      <c r="L429" s="179"/>
      <c r="M429" s="179"/>
      <c r="N429" s="179"/>
      <c r="O429" s="179"/>
    </row>
    <row r="430" ht="15.75" customHeight="1">
      <c r="I430" s="179"/>
      <c r="J430" s="179"/>
      <c r="K430" s="179"/>
      <c r="L430" s="179"/>
      <c r="M430" s="179"/>
      <c r="N430" s="179"/>
      <c r="O430" s="179"/>
    </row>
    <row r="431" ht="15.75" customHeight="1">
      <c r="I431" s="179"/>
      <c r="J431" s="179"/>
      <c r="K431" s="179"/>
      <c r="L431" s="179"/>
      <c r="M431" s="179"/>
      <c r="N431" s="179"/>
      <c r="O431" s="179"/>
    </row>
    <row r="432" ht="15.75" customHeight="1">
      <c r="I432" s="179"/>
      <c r="J432" s="179"/>
      <c r="K432" s="179"/>
      <c r="L432" s="179"/>
      <c r="M432" s="179"/>
      <c r="N432" s="179"/>
      <c r="O432" s="179"/>
    </row>
    <row r="433" ht="15.75" customHeight="1">
      <c r="I433" s="179"/>
      <c r="J433" s="179"/>
      <c r="K433" s="179"/>
      <c r="L433" s="179"/>
      <c r="M433" s="179"/>
      <c r="N433" s="179"/>
      <c r="O433" s="179"/>
    </row>
    <row r="434" ht="15.75" customHeight="1">
      <c r="I434" s="179"/>
      <c r="J434" s="179"/>
      <c r="K434" s="179"/>
      <c r="L434" s="179"/>
      <c r="M434" s="179"/>
      <c r="N434" s="179"/>
      <c r="O434" s="179"/>
    </row>
    <row r="435" ht="15.75" customHeight="1">
      <c r="I435" s="179"/>
      <c r="J435" s="179"/>
      <c r="K435" s="179"/>
      <c r="L435" s="179"/>
      <c r="M435" s="179"/>
      <c r="N435" s="179"/>
      <c r="O435" s="179"/>
    </row>
    <row r="436" ht="15.75" customHeight="1">
      <c r="I436" s="179"/>
      <c r="J436" s="179"/>
      <c r="K436" s="179"/>
      <c r="L436" s="179"/>
      <c r="M436" s="179"/>
      <c r="N436" s="179"/>
      <c r="O436" s="179"/>
    </row>
    <row r="437" ht="15.75" customHeight="1">
      <c r="I437" s="179"/>
      <c r="J437" s="179"/>
      <c r="K437" s="179"/>
      <c r="L437" s="179"/>
      <c r="M437" s="179"/>
      <c r="N437" s="179"/>
      <c r="O437" s="179"/>
    </row>
    <row r="438" ht="15.75" customHeight="1">
      <c r="I438" s="179"/>
      <c r="J438" s="179"/>
      <c r="K438" s="179"/>
      <c r="L438" s="179"/>
      <c r="M438" s="179"/>
      <c r="N438" s="179"/>
      <c r="O438" s="179"/>
    </row>
    <row r="439" ht="15.75" customHeight="1">
      <c r="I439" s="179"/>
      <c r="J439" s="179"/>
      <c r="K439" s="179"/>
      <c r="L439" s="179"/>
      <c r="M439" s="179"/>
      <c r="N439" s="179"/>
      <c r="O439" s="179"/>
    </row>
    <row r="440" ht="15.75" customHeight="1">
      <c r="I440" s="179"/>
      <c r="J440" s="179"/>
      <c r="K440" s="179"/>
      <c r="L440" s="179"/>
      <c r="M440" s="179"/>
      <c r="N440" s="179"/>
      <c r="O440" s="179"/>
    </row>
    <row r="441" ht="15.75" customHeight="1">
      <c r="I441" s="179"/>
      <c r="J441" s="179"/>
      <c r="K441" s="179"/>
      <c r="L441" s="179"/>
      <c r="M441" s="179"/>
      <c r="N441" s="179"/>
      <c r="O441" s="179"/>
    </row>
    <row r="442" ht="15.75" customHeight="1">
      <c r="I442" s="179"/>
      <c r="J442" s="179"/>
      <c r="K442" s="179"/>
      <c r="L442" s="179"/>
      <c r="M442" s="179"/>
      <c r="N442" s="179"/>
      <c r="O442" s="179"/>
    </row>
    <row r="443" ht="15.75" customHeight="1">
      <c r="I443" s="179"/>
      <c r="J443" s="179"/>
      <c r="K443" s="179"/>
      <c r="L443" s="179"/>
      <c r="M443" s="179"/>
      <c r="N443" s="179"/>
      <c r="O443" s="179"/>
    </row>
    <row r="444" ht="15.75" customHeight="1">
      <c r="I444" s="179"/>
      <c r="J444" s="179"/>
      <c r="K444" s="179"/>
      <c r="L444" s="179"/>
      <c r="M444" s="179"/>
      <c r="N444" s="179"/>
      <c r="O444" s="179"/>
    </row>
    <row r="445" ht="15.75" customHeight="1">
      <c r="I445" s="179"/>
      <c r="J445" s="179"/>
      <c r="K445" s="179"/>
      <c r="L445" s="179"/>
      <c r="M445" s="179"/>
      <c r="N445" s="179"/>
      <c r="O445" s="179"/>
    </row>
    <row r="446" ht="15.75" customHeight="1">
      <c r="I446" s="179"/>
      <c r="J446" s="179"/>
      <c r="K446" s="179"/>
      <c r="L446" s="179"/>
      <c r="M446" s="179"/>
      <c r="N446" s="179"/>
      <c r="O446" s="179"/>
    </row>
    <row r="447" ht="15.75" customHeight="1">
      <c r="I447" s="179"/>
      <c r="J447" s="179"/>
      <c r="K447" s="179"/>
      <c r="L447" s="179"/>
      <c r="M447" s="179"/>
      <c r="N447" s="179"/>
      <c r="O447" s="179"/>
    </row>
    <row r="448" ht="15.75" customHeight="1">
      <c r="I448" s="179"/>
      <c r="J448" s="179"/>
      <c r="K448" s="179"/>
      <c r="L448" s="179"/>
      <c r="M448" s="179"/>
      <c r="N448" s="179"/>
      <c r="O448" s="179"/>
    </row>
    <row r="449" ht="15.75" customHeight="1">
      <c r="I449" s="179"/>
      <c r="J449" s="179"/>
      <c r="K449" s="179"/>
      <c r="L449" s="179"/>
      <c r="M449" s="179"/>
      <c r="N449" s="179"/>
      <c r="O449" s="179"/>
    </row>
    <row r="450" ht="15.75" customHeight="1">
      <c r="I450" s="179"/>
      <c r="J450" s="179"/>
      <c r="K450" s="179"/>
      <c r="L450" s="179"/>
      <c r="M450" s="179"/>
      <c r="N450" s="179"/>
      <c r="O450" s="179"/>
    </row>
    <row r="451" ht="15.75" customHeight="1">
      <c r="I451" s="179"/>
      <c r="J451" s="179"/>
      <c r="K451" s="179"/>
      <c r="L451" s="179"/>
      <c r="M451" s="179"/>
      <c r="N451" s="179"/>
      <c r="O451" s="179"/>
    </row>
    <row r="452" ht="15.75" customHeight="1">
      <c r="I452" s="179"/>
      <c r="J452" s="179"/>
      <c r="K452" s="179"/>
      <c r="L452" s="179"/>
      <c r="M452" s="179"/>
      <c r="N452" s="179"/>
      <c r="O452" s="179"/>
    </row>
    <row r="453" ht="15.75" customHeight="1">
      <c r="I453" s="179"/>
      <c r="J453" s="179"/>
      <c r="K453" s="179"/>
      <c r="L453" s="179"/>
      <c r="M453" s="179"/>
      <c r="N453" s="179"/>
      <c r="O453" s="179"/>
    </row>
    <row r="454" ht="15.75" customHeight="1">
      <c r="I454" s="179"/>
      <c r="J454" s="179"/>
      <c r="K454" s="179"/>
      <c r="L454" s="179"/>
      <c r="M454" s="179"/>
      <c r="N454" s="179"/>
      <c r="O454" s="179"/>
    </row>
    <row r="455" ht="15.75" customHeight="1">
      <c r="I455" s="179"/>
      <c r="J455" s="179"/>
      <c r="K455" s="179"/>
      <c r="L455" s="179"/>
      <c r="M455" s="179"/>
      <c r="N455" s="179"/>
      <c r="O455" s="179"/>
    </row>
    <row r="456" ht="15.75" customHeight="1">
      <c r="I456" s="179"/>
      <c r="J456" s="179"/>
      <c r="K456" s="179"/>
      <c r="L456" s="179"/>
      <c r="M456" s="179"/>
      <c r="N456" s="179"/>
      <c r="O456" s="179"/>
    </row>
    <row r="457" ht="15.75" customHeight="1">
      <c r="I457" s="179"/>
      <c r="J457" s="179"/>
      <c r="K457" s="179"/>
      <c r="L457" s="179"/>
      <c r="M457" s="179"/>
      <c r="N457" s="179"/>
      <c r="O457" s="179"/>
    </row>
    <row r="458" ht="15.75" customHeight="1">
      <c r="I458" s="179"/>
      <c r="J458" s="179"/>
      <c r="K458" s="179"/>
      <c r="L458" s="179"/>
      <c r="M458" s="179"/>
      <c r="N458" s="179"/>
      <c r="O458" s="179"/>
    </row>
    <row r="459" ht="15.75" customHeight="1">
      <c r="I459" s="179"/>
      <c r="J459" s="179"/>
      <c r="K459" s="179"/>
      <c r="L459" s="179"/>
      <c r="M459" s="179"/>
      <c r="N459" s="179"/>
      <c r="O459" s="179"/>
    </row>
    <row r="460" ht="15.75" customHeight="1">
      <c r="I460" s="179"/>
      <c r="J460" s="179"/>
      <c r="K460" s="179"/>
      <c r="L460" s="179"/>
      <c r="M460" s="179"/>
      <c r="N460" s="179"/>
      <c r="O460" s="179"/>
    </row>
    <row r="461" ht="15.75" customHeight="1">
      <c r="I461" s="179"/>
      <c r="J461" s="179"/>
      <c r="K461" s="179"/>
      <c r="L461" s="179"/>
      <c r="M461" s="179"/>
      <c r="N461" s="179"/>
      <c r="O461" s="179"/>
    </row>
    <row r="462" ht="15.75" customHeight="1">
      <c r="I462" s="179"/>
      <c r="J462" s="179"/>
      <c r="K462" s="179"/>
      <c r="L462" s="179"/>
      <c r="M462" s="179"/>
      <c r="N462" s="179"/>
      <c r="O462" s="179"/>
    </row>
    <row r="463" ht="15.75" customHeight="1">
      <c r="I463" s="179"/>
      <c r="J463" s="179"/>
      <c r="K463" s="179"/>
      <c r="L463" s="179"/>
      <c r="M463" s="179"/>
      <c r="N463" s="179"/>
      <c r="O463" s="179"/>
    </row>
    <row r="464" ht="15.75" customHeight="1">
      <c r="I464" s="179"/>
      <c r="J464" s="179"/>
      <c r="K464" s="179"/>
      <c r="L464" s="179"/>
      <c r="M464" s="179"/>
      <c r="N464" s="179"/>
      <c r="O464" s="179"/>
    </row>
    <row r="465" ht="15.75" customHeight="1">
      <c r="I465" s="179"/>
      <c r="J465" s="179"/>
      <c r="K465" s="179"/>
      <c r="L465" s="179"/>
      <c r="M465" s="179"/>
      <c r="N465" s="179"/>
      <c r="O465" s="179"/>
    </row>
    <row r="466" ht="15.75" customHeight="1">
      <c r="I466" s="179"/>
      <c r="J466" s="179"/>
      <c r="K466" s="179"/>
      <c r="L466" s="179"/>
      <c r="M466" s="179"/>
      <c r="N466" s="179"/>
      <c r="O466" s="179"/>
    </row>
    <row r="467" ht="15.75" customHeight="1">
      <c r="I467" s="179"/>
      <c r="J467" s="179"/>
      <c r="K467" s="179"/>
      <c r="L467" s="179"/>
      <c r="M467" s="179"/>
      <c r="N467" s="179"/>
      <c r="O467" s="179"/>
    </row>
    <row r="468" ht="15.75" customHeight="1">
      <c r="I468" s="179"/>
      <c r="J468" s="179"/>
      <c r="K468" s="179"/>
      <c r="L468" s="179"/>
      <c r="M468" s="179"/>
      <c r="N468" s="179"/>
      <c r="O468" s="179"/>
    </row>
    <row r="469" ht="15.75" customHeight="1">
      <c r="I469" s="179"/>
      <c r="J469" s="179"/>
      <c r="K469" s="179"/>
      <c r="L469" s="179"/>
      <c r="M469" s="179"/>
      <c r="N469" s="179"/>
      <c r="O469" s="179"/>
    </row>
    <row r="470" ht="15.75" customHeight="1">
      <c r="I470" s="179"/>
      <c r="J470" s="179"/>
      <c r="K470" s="179"/>
      <c r="L470" s="179"/>
      <c r="M470" s="179"/>
      <c r="N470" s="179"/>
      <c r="O470" s="179"/>
    </row>
    <row r="471" ht="15.75" customHeight="1">
      <c r="I471" s="179"/>
      <c r="J471" s="179"/>
      <c r="K471" s="179"/>
      <c r="L471" s="179"/>
      <c r="M471" s="179"/>
      <c r="N471" s="179"/>
      <c r="O471" s="179"/>
    </row>
    <row r="472" ht="15.75" customHeight="1">
      <c r="I472" s="179"/>
      <c r="J472" s="179"/>
      <c r="K472" s="179"/>
      <c r="L472" s="179"/>
      <c r="M472" s="179"/>
      <c r="N472" s="179"/>
      <c r="O472" s="179"/>
    </row>
    <row r="473" ht="15.75" customHeight="1">
      <c r="I473" s="179"/>
      <c r="J473" s="179"/>
      <c r="K473" s="179"/>
      <c r="L473" s="179"/>
      <c r="M473" s="179"/>
      <c r="N473" s="179"/>
      <c r="O473" s="179"/>
    </row>
    <row r="474" ht="15.75" customHeight="1">
      <c r="I474" s="179"/>
      <c r="J474" s="179"/>
      <c r="K474" s="179"/>
      <c r="L474" s="179"/>
      <c r="M474" s="179"/>
      <c r="N474" s="179"/>
      <c r="O474" s="179"/>
    </row>
    <row r="475" ht="15.75" customHeight="1">
      <c r="I475" s="179"/>
      <c r="J475" s="179"/>
      <c r="K475" s="179"/>
      <c r="L475" s="179"/>
      <c r="M475" s="179"/>
      <c r="N475" s="179"/>
      <c r="O475" s="179"/>
    </row>
    <row r="476" ht="15.75" customHeight="1">
      <c r="I476" s="179"/>
      <c r="J476" s="179"/>
      <c r="K476" s="179"/>
      <c r="L476" s="179"/>
      <c r="M476" s="179"/>
      <c r="N476" s="179"/>
      <c r="O476" s="179"/>
    </row>
    <row r="477" ht="15.75" customHeight="1">
      <c r="I477" s="179"/>
      <c r="J477" s="179"/>
      <c r="K477" s="179"/>
      <c r="L477" s="179"/>
      <c r="M477" s="179"/>
      <c r="N477" s="179"/>
      <c r="O477" s="179"/>
    </row>
    <row r="478" ht="15.75" customHeight="1">
      <c r="I478" s="179"/>
      <c r="J478" s="179"/>
      <c r="K478" s="179"/>
      <c r="L478" s="179"/>
      <c r="M478" s="179"/>
      <c r="N478" s="179"/>
      <c r="O478" s="179"/>
    </row>
    <row r="479" ht="15.75" customHeight="1">
      <c r="I479" s="179"/>
      <c r="J479" s="179"/>
      <c r="K479" s="179"/>
      <c r="L479" s="179"/>
      <c r="M479" s="179"/>
      <c r="N479" s="179"/>
      <c r="O479" s="179"/>
    </row>
    <row r="480" ht="15.75" customHeight="1">
      <c r="I480" s="179"/>
      <c r="J480" s="179"/>
      <c r="K480" s="179"/>
      <c r="L480" s="179"/>
      <c r="M480" s="179"/>
      <c r="N480" s="179"/>
      <c r="O480" s="179"/>
    </row>
    <row r="481" ht="15.75" customHeight="1">
      <c r="I481" s="179"/>
      <c r="J481" s="179"/>
      <c r="K481" s="179"/>
      <c r="L481" s="179"/>
      <c r="M481" s="179"/>
      <c r="N481" s="179"/>
      <c r="O481" s="179"/>
    </row>
    <row r="482" ht="15.75" customHeight="1">
      <c r="I482" s="179"/>
      <c r="J482" s="179"/>
      <c r="K482" s="179"/>
      <c r="L482" s="179"/>
      <c r="M482" s="179"/>
      <c r="N482" s="179"/>
      <c r="O482" s="179"/>
    </row>
    <row r="483" ht="15.75" customHeight="1">
      <c r="I483" s="179"/>
      <c r="J483" s="179"/>
      <c r="K483" s="179"/>
      <c r="L483" s="179"/>
      <c r="M483" s="179"/>
      <c r="N483" s="179"/>
      <c r="O483" s="179"/>
    </row>
    <row r="484" ht="15.75" customHeight="1">
      <c r="I484" s="179"/>
      <c r="J484" s="179"/>
      <c r="K484" s="179"/>
      <c r="L484" s="179"/>
      <c r="M484" s="179"/>
      <c r="N484" s="179"/>
      <c r="O484" s="179"/>
    </row>
    <row r="485" ht="15.75" customHeight="1">
      <c r="I485" s="179"/>
      <c r="J485" s="179"/>
      <c r="K485" s="179"/>
      <c r="L485" s="179"/>
      <c r="M485" s="179"/>
      <c r="N485" s="179"/>
      <c r="O485" s="179"/>
    </row>
    <row r="486" ht="15.75" customHeight="1">
      <c r="I486" s="179"/>
      <c r="J486" s="179"/>
      <c r="K486" s="179"/>
      <c r="L486" s="179"/>
      <c r="M486" s="179"/>
      <c r="N486" s="179"/>
      <c r="O486" s="179"/>
    </row>
    <row r="487" ht="15.75" customHeight="1">
      <c r="I487" s="179"/>
      <c r="J487" s="179"/>
      <c r="K487" s="179"/>
      <c r="L487" s="179"/>
      <c r="M487" s="179"/>
      <c r="N487" s="179"/>
      <c r="O487" s="179"/>
    </row>
    <row r="488" ht="15.75" customHeight="1">
      <c r="I488" s="179"/>
      <c r="J488" s="179"/>
      <c r="K488" s="179"/>
      <c r="L488" s="179"/>
      <c r="M488" s="179"/>
      <c r="N488" s="179"/>
      <c r="O488" s="179"/>
    </row>
    <row r="489" ht="15.75" customHeight="1">
      <c r="I489" s="179"/>
      <c r="J489" s="179"/>
      <c r="K489" s="179"/>
      <c r="L489" s="179"/>
      <c r="M489" s="179"/>
      <c r="N489" s="179"/>
      <c r="O489" s="179"/>
    </row>
    <row r="490" ht="15.75" customHeight="1">
      <c r="I490" s="179"/>
      <c r="J490" s="179"/>
      <c r="K490" s="179"/>
      <c r="L490" s="179"/>
      <c r="M490" s="179"/>
      <c r="N490" s="179"/>
      <c r="O490" s="179"/>
    </row>
    <row r="491" ht="15.75" customHeight="1">
      <c r="I491" s="179"/>
      <c r="J491" s="179"/>
      <c r="K491" s="179"/>
      <c r="L491" s="179"/>
      <c r="M491" s="179"/>
      <c r="N491" s="179"/>
      <c r="O491" s="179"/>
    </row>
    <row r="492" ht="15.75" customHeight="1">
      <c r="I492" s="179"/>
      <c r="J492" s="179"/>
      <c r="K492" s="179"/>
      <c r="L492" s="179"/>
      <c r="M492" s="179"/>
      <c r="N492" s="179"/>
      <c r="O492" s="179"/>
    </row>
    <row r="493" ht="15.75" customHeight="1">
      <c r="I493" s="179"/>
      <c r="J493" s="179"/>
      <c r="K493" s="179"/>
      <c r="L493" s="179"/>
      <c r="M493" s="179"/>
      <c r="N493" s="179"/>
      <c r="O493" s="179"/>
    </row>
    <row r="494" ht="15.75" customHeight="1">
      <c r="I494" s="179"/>
      <c r="J494" s="179"/>
      <c r="K494" s="179"/>
      <c r="L494" s="179"/>
      <c r="M494" s="179"/>
      <c r="N494" s="179"/>
      <c r="O494" s="179"/>
    </row>
    <row r="495" ht="15.75" customHeight="1">
      <c r="I495" s="179"/>
      <c r="J495" s="179"/>
      <c r="K495" s="179"/>
      <c r="L495" s="179"/>
      <c r="M495" s="179"/>
      <c r="N495" s="179"/>
      <c r="O495" s="179"/>
    </row>
    <row r="496" ht="15.75" customHeight="1">
      <c r="I496" s="179"/>
      <c r="J496" s="179"/>
      <c r="K496" s="179"/>
      <c r="L496" s="179"/>
      <c r="M496" s="179"/>
      <c r="N496" s="179"/>
      <c r="O496" s="179"/>
    </row>
    <row r="497" ht="15.75" customHeight="1">
      <c r="I497" s="179"/>
      <c r="J497" s="179"/>
      <c r="K497" s="179"/>
      <c r="L497" s="179"/>
      <c r="M497" s="179"/>
      <c r="N497" s="179"/>
      <c r="O497" s="179"/>
    </row>
    <row r="498" ht="15.75" customHeight="1">
      <c r="I498" s="179"/>
      <c r="J498" s="179"/>
      <c r="K498" s="179"/>
      <c r="L498" s="179"/>
      <c r="M498" s="179"/>
      <c r="N498" s="179"/>
      <c r="O498" s="179"/>
    </row>
    <row r="499" ht="15.75" customHeight="1">
      <c r="I499" s="179"/>
      <c r="J499" s="179"/>
      <c r="K499" s="179"/>
      <c r="L499" s="179"/>
      <c r="M499" s="179"/>
      <c r="N499" s="179"/>
      <c r="O499" s="179"/>
    </row>
    <row r="500" ht="15.75" customHeight="1">
      <c r="I500" s="179"/>
      <c r="J500" s="179"/>
      <c r="K500" s="179"/>
      <c r="L500" s="179"/>
      <c r="M500" s="179"/>
      <c r="N500" s="179"/>
      <c r="O500" s="179"/>
    </row>
    <row r="501" ht="15.75" customHeight="1">
      <c r="I501" s="179"/>
      <c r="J501" s="179"/>
      <c r="K501" s="179"/>
      <c r="L501" s="179"/>
      <c r="M501" s="179"/>
      <c r="N501" s="179"/>
      <c r="O501" s="179"/>
    </row>
    <row r="502" ht="15.75" customHeight="1">
      <c r="I502" s="179"/>
      <c r="J502" s="179"/>
      <c r="K502" s="179"/>
      <c r="L502" s="179"/>
      <c r="M502" s="179"/>
      <c r="N502" s="179"/>
      <c r="O502" s="179"/>
    </row>
    <row r="503" ht="15.75" customHeight="1">
      <c r="I503" s="179"/>
      <c r="J503" s="179"/>
      <c r="K503" s="179"/>
      <c r="L503" s="179"/>
      <c r="M503" s="179"/>
      <c r="N503" s="179"/>
      <c r="O503" s="179"/>
    </row>
    <row r="504" ht="15.75" customHeight="1">
      <c r="I504" s="179"/>
      <c r="J504" s="179"/>
      <c r="K504" s="179"/>
      <c r="L504" s="179"/>
      <c r="M504" s="179"/>
      <c r="N504" s="179"/>
      <c r="O504" s="179"/>
    </row>
    <row r="505" ht="15.75" customHeight="1">
      <c r="I505" s="179"/>
      <c r="J505" s="179"/>
      <c r="K505" s="179"/>
      <c r="L505" s="179"/>
      <c r="M505" s="179"/>
      <c r="N505" s="179"/>
      <c r="O505" s="179"/>
    </row>
    <row r="506" ht="15.75" customHeight="1">
      <c r="I506" s="179"/>
      <c r="J506" s="179"/>
      <c r="K506" s="179"/>
      <c r="L506" s="179"/>
      <c r="M506" s="179"/>
      <c r="N506" s="179"/>
      <c r="O506" s="179"/>
    </row>
    <row r="507" ht="15.75" customHeight="1">
      <c r="I507" s="179"/>
      <c r="J507" s="179"/>
      <c r="K507" s="179"/>
      <c r="L507" s="179"/>
      <c r="M507" s="179"/>
      <c r="N507" s="179"/>
      <c r="O507" s="179"/>
    </row>
    <row r="508" ht="15.75" customHeight="1">
      <c r="I508" s="179"/>
      <c r="J508" s="179"/>
      <c r="K508" s="179"/>
      <c r="L508" s="179"/>
      <c r="M508" s="179"/>
      <c r="N508" s="179"/>
      <c r="O508" s="179"/>
    </row>
    <row r="509" ht="15.75" customHeight="1">
      <c r="I509" s="179"/>
      <c r="J509" s="179"/>
      <c r="K509" s="179"/>
      <c r="L509" s="179"/>
      <c r="M509" s="179"/>
      <c r="N509" s="179"/>
      <c r="O509" s="179"/>
    </row>
    <row r="510" ht="15.75" customHeight="1">
      <c r="I510" s="179"/>
      <c r="J510" s="179"/>
      <c r="K510" s="179"/>
      <c r="L510" s="179"/>
      <c r="M510" s="179"/>
      <c r="N510" s="179"/>
      <c r="O510" s="179"/>
    </row>
    <row r="511" ht="15.75" customHeight="1">
      <c r="I511" s="179"/>
      <c r="J511" s="179"/>
      <c r="K511" s="179"/>
      <c r="L511" s="179"/>
      <c r="M511" s="179"/>
      <c r="N511" s="179"/>
      <c r="O511" s="179"/>
    </row>
    <row r="512" ht="15.75" customHeight="1">
      <c r="I512" s="179"/>
      <c r="J512" s="179"/>
      <c r="K512" s="179"/>
      <c r="L512" s="179"/>
      <c r="M512" s="179"/>
      <c r="N512" s="179"/>
      <c r="O512" s="179"/>
    </row>
    <row r="513" ht="15.75" customHeight="1">
      <c r="I513" s="179"/>
      <c r="J513" s="179"/>
      <c r="K513" s="179"/>
      <c r="L513" s="179"/>
      <c r="M513" s="179"/>
      <c r="N513" s="179"/>
      <c r="O513" s="179"/>
    </row>
    <row r="514" ht="15.75" customHeight="1">
      <c r="I514" s="179"/>
      <c r="J514" s="179"/>
      <c r="K514" s="179"/>
      <c r="L514" s="179"/>
      <c r="M514" s="179"/>
      <c r="N514" s="179"/>
      <c r="O514" s="179"/>
    </row>
    <row r="515" ht="15.75" customHeight="1">
      <c r="I515" s="179"/>
      <c r="J515" s="179"/>
      <c r="K515" s="179"/>
      <c r="L515" s="179"/>
      <c r="M515" s="179"/>
      <c r="N515" s="179"/>
      <c r="O515" s="179"/>
    </row>
    <row r="516" ht="15.75" customHeight="1">
      <c r="I516" s="179"/>
      <c r="J516" s="179"/>
      <c r="K516" s="179"/>
      <c r="L516" s="179"/>
      <c r="M516" s="179"/>
      <c r="N516" s="179"/>
      <c r="O516" s="179"/>
    </row>
    <row r="517" ht="15.75" customHeight="1">
      <c r="I517" s="179"/>
      <c r="J517" s="179"/>
      <c r="K517" s="179"/>
      <c r="L517" s="179"/>
      <c r="M517" s="179"/>
      <c r="N517" s="179"/>
      <c r="O517" s="179"/>
    </row>
    <row r="518" ht="15.75" customHeight="1">
      <c r="I518" s="179"/>
      <c r="J518" s="179"/>
      <c r="K518" s="179"/>
      <c r="L518" s="179"/>
      <c r="M518" s="179"/>
      <c r="N518" s="179"/>
      <c r="O518" s="179"/>
    </row>
    <row r="519" ht="15.75" customHeight="1">
      <c r="I519" s="179"/>
      <c r="J519" s="179"/>
      <c r="K519" s="179"/>
      <c r="L519" s="179"/>
      <c r="M519" s="179"/>
      <c r="N519" s="179"/>
      <c r="O519" s="179"/>
    </row>
    <row r="520" ht="15.75" customHeight="1">
      <c r="I520" s="179"/>
      <c r="J520" s="179"/>
      <c r="K520" s="179"/>
      <c r="L520" s="179"/>
      <c r="M520" s="179"/>
      <c r="N520" s="179"/>
      <c r="O520" s="179"/>
    </row>
    <row r="521" ht="15.75" customHeight="1">
      <c r="I521" s="179"/>
      <c r="J521" s="179"/>
      <c r="K521" s="179"/>
      <c r="L521" s="179"/>
      <c r="M521" s="179"/>
      <c r="N521" s="179"/>
      <c r="O521" s="179"/>
    </row>
    <row r="522" ht="15.75" customHeight="1">
      <c r="I522" s="179"/>
      <c r="J522" s="179"/>
      <c r="K522" s="179"/>
      <c r="L522" s="179"/>
      <c r="M522" s="179"/>
      <c r="N522" s="179"/>
      <c r="O522" s="179"/>
    </row>
    <row r="523" ht="15.75" customHeight="1">
      <c r="I523" s="179"/>
      <c r="J523" s="179"/>
      <c r="K523" s="179"/>
      <c r="L523" s="179"/>
      <c r="M523" s="179"/>
      <c r="N523" s="179"/>
      <c r="O523" s="179"/>
    </row>
    <row r="524" ht="15.75" customHeight="1">
      <c r="I524" s="179"/>
      <c r="J524" s="179"/>
      <c r="K524" s="179"/>
      <c r="L524" s="179"/>
      <c r="M524" s="179"/>
      <c r="N524" s="179"/>
      <c r="O524" s="179"/>
    </row>
    <row r="525" ht="15.75" customHeight="1">
      <c r="I525" s="179"/>
      <c r="J525" s="179"/>
      <c r="K525" s="179"/>
      <c r="L525" s="179"/>
      <c r="M525" s="179"/>
      <c r="N525" s="179"/>
      <c r="O525" s="179"/>
    </row>
    <row r="526" ht="15.75" customHeight="1">
      <c r="I526" s="179"/>
      <c r="J526" s="179"/>
      <c r="K526" s="179"/>
      <c r="L526" s="179"/>
      <c r="M526" s="179"/>
      <c r="N526" s="179"/>
      <c r="O526" s="179"/>
    </row>
    <row r="527" ht="15.75" customHeight="1">
      <c r="I527" s="179"/>
      <c r="J527" s="179"/>
      <c r="K527" s="179"/>
      <c r="L527" s="179"/>
      <c r="M527" s="179"/>
      <c r="N527" s="179"/>
      <c r="O527" s="179"/>
    </row>
    <row r="528" ht="15.75" customHeight="1">
      <c r="I528" s="179"/>
      <c r="J528" s="179"/>
      <c r="K528" s="179"/>
      <c r="L528" s="179"/>
      <c r="M528" s="179"/>
      <c r="N528" s="179"/>
      <c r="O528" s="179"/>
    </row>
    <row r="529" ht="15.75" customHeight="1">
      <c r="I529" s="179"/>
      <c r="J529" s="179"/>
      <c r="K529" s="179"/>
      <c r="L529" s="179"/>
      <c r="M529" s="179"/>
      <c r="N529" s="179"/>
      <c r="O529" s="179"/>
    </row>
    <row r="530" ht="15.75" customHeight="1">
      <c r="I530" s="179"/>
      <c r="J530" s="179"/>
      <c r="K530" s="179"/>
      <c r="L530" s="179"/>
      <c r="M530" s="179"/>
      <c r="N530" s="179"/>
      <c r="O530" s="179"/>
    </row>
    <row r="531" ht="15.75" customHeight="1">
      <c r="I531" s="179"/>
      <c r="J531" s="179"/>
      <c r="K531" s="179"/>
      <c r="L531" s="179"/>
      <c r="M531" s="179"/>
      <c r="N531" s="179"/>
      <c r="O531" s="179"/>
    </row>
    <row r="532" ht="15.75" customHeight="1">
      <c r="I532" s="179"/>
      <c r="J532" s="179"/>
      <c r="K532" s="179"/>
      <c r="L532" s="179"/>
      <c r="M532" s="179"/>
      <c r="N532" s="179"/>
      <c r="O532" s="179"/>
    </row>
    <row r="533" ht="15.75" customHeight="1">
      <c r="I533" s="179"/>
      <c r="J533" s="179"/>
      <c r="K533" s="179"/>
      <c r="L533" s="179"/>
      <c r="M533" s="179"/>
      <c r="N533" s="179"/>
      <c r="O533" s="179"/>
    </row>
    <row r="534" ht="15.75" customHeight="1">
      <c r="I534" s="179"/>
      <c r="J534" s="179"/>
      <c r="K534" s="179"/>
      <c r="L534" s="179"/>
      <c r="M534" s="179"/>
      <c r="N534" s="179"/>
      <c r="O534" s="179"/>
    </row>
    <row r="535" ht="15.75" customHeight="1">
      <c r="I535" s="179"/>
      <c r="J535" s="179"/>
      <c r="K535" s="179"/>
      <c r="L535" s="179"/>
      <c r="M535" s="179"/>
      <c r="N535" s="179"/>
      <c r="O535" s="179"/>
    </row>
    <row r="536" ht="15.75" customHeight="1">
      <c r="I536" s="179"/>
      <c r="J536" s="179"/>
      <c r="K536" s="179"/>
      <c r="L536" s="179"/>
      <c r="M536" s="179"/>
      <c r="N536" s="179"/>
      <c r="O536" s="179"/>
    </row>
    <row r="537" ht="15.75" customHeight="1">
      <c r="I537" s="179"/>
      <c r="J537" s="179"/>
      <c r="K537" s="179"/>
      <c r="L537" s="179"/>
      <c r="M537" s="179"/>
      <c r="N537" s="179"/>
      <c r="O537" s="179"/>
    </row>
    <row r="538" ht="15.75" customHeight="1">
      <c r="I538" s="179"/>
      <c r="J538" s="179"/>
      <c r="K538" s="179"/>
      <c r="L538" s="179"/>
      <c r="M538" s="179"/>
      <c r="N538" s="179"/>
      <c r="O538" s="179"/>
    </row>
    <row r="539" ht="15.75" customHeight="1">
      <c r="I539" s="179"/>
      <c r="J539" s="179"/>
      <c r="K539" s="179"/>
      <c r="L539" s="179"/>
      <c r="M539" s="179"/>
      <c r="N539" s="179"/>
      <c r="O539" s="179"/>
    </row>
    <row r="540" ht="15.75" customHeight="1">
      <c r="I540" s="179"/>
      <c r="J540" s="179"/>
      <c r="K540" s="179"/>
      <c r="L540" s="179"/>
      <c r="M540" s="179"/>
      <c r="N540" s="179"/>
      <c r="O540" s="179"/>
    </row>
    <row r="541" ht="15.75" customHeight="1">
      <c r="I541" s="179"/>
      <c r="J541" s="179"/>
      <c r="K541" s="179"/>
      <c r="L541" s="179"/>
      <c r="M541" s="179"/>
      <c r="N541" s="179"/>
      <c r="O541" s="179"/>
    </row>
    <row r="542" ht="15.75" customHeight="1">
      <c r="I542" s="179"/>
      <c r="J542" s="179"/>
      <c r="K542" s="179"/>
      <c r="L542" s="179"/>
      <c r="M542" s="179"/>
      <c r="N542" s="179"/>
      <c r="O542" s="179"/>
    </row>
    <row r="543" ht="15.75" customHeight="1">
      <c r="I543" s="179"/>
      <c r="J543" s="179"/>
      <c r="K543" s="179"/>
      <c r="L543" s="179"/>
      <c r="M543" s="179"/>
      <c r="N543" s="179"/>
      <c r="O543" s="179"/>
    </row>
    <row r="544" ht="15.75" customHeight="1">
      <c r="I544" s="179"/>
      <c r="J544" s="179"/>
      <c r="K544" s="179"/>
      <c r="L544" s="179"/>
      <c r="M544" s="179"/>
      <c r="N544" s="179"/>
      <c r="O544" s="179"/>
    </row>
    <row r="545" ht="15.75" customHeight="1">
      <c r="I545" s="179"/>
      <c r="J545" s="179"/>
      <c r="K545" s="179"/>
      <c r="L545" s="179"/>
      <c r="M545" s="179"/>
      <c r="N545" s="179"/>
      <c r="O545" s="179"/>
    </row>
    <row r="546" ht="15.75" customHeight="1">
      <c r="I546" s="179"/>
      <c r="J546" s="179"/>
      <c r="K546" s="179"/>
      <c r="L546" s="179"/>
      <c r="M546" s="179"/>
      <c r="N546" s="179"/>
      <c r="O546" s="179"/>
    </row>
    <row r="547" ht="15.75" customHeight="1">
      <c r="I547" s="179"/>
      <c r="J547" s="179"/>
      <c r="K547" s="179"/>
      <c r="L547" s="179"/>
      <c r="M547" s="179"/>
      <c r="N547" s="179"/>
      <c r="O547" s="179"/>
    </row>
    <row r="548" ht="15.75" customHeight="1">
      <c r="I548" s="179"/>
      <c r="J548" s="179"/>
      <c r="K548" s="179"/>
      <c r="L548" s="179"/>
      <c r="M548" s="179"/>
      <c r="N548" s="179"/>
      <c r="O548" s="179"/>
    </row>
    <row r="549" ht="15.75" customHeight="1">
      <c r="I549" s="179"/>
      <c r="J549" s="179"/>
      <c r="K549" s="179"/>
      <c r="L549" s="179"/>
      <c r="M549" s="179"/>
      <c r="N549" s="179"/>
      <c r="O549" s="179"/>
    </row>
    <row r="550" ht="15.75" customHeight="1">
      <c r="I550" s="179"/>
      <c r="J550" s="179"/>
      <c r="K550" s="179"/>
      <c r="L550" s="179"/>
      <c r="M550" s="179"/>
      <c r="N550" s="179"/>
      <c r="O550" s="179"/>
    </row>
    <row r="551" ht="15.75" customHeight="1">
      <c r="I551" s="179"/>
      <c r="J551" s="179"/>
      <c r="K551" s="179"/>
      <c r="L551" s="179"/>
      <c r="M551" s="179"/>
      <c r="N551" s="179"/>
      <c r="O551" s="179"/>
    </row>
    <row r="552" ht="15.75" customHeight="1">
      <c r="I552" s="179"/>
      <c r="J552" s="179"/>
      <c r="K552" s="179"/>
      <c r="L552" s="179"/>
      <c r="M552" s="179"/>
      <c r="N552" s="179"/>
      <c r="O552" s="179"/>
    </row>
    <row r="553" ht="15.75" customHeight="1">
      <c r="I553" s="179"/>
      <c r="J553" s="179"/>
      <c r="K553" s="179"/>
      <c r="L553" s="179"/>
      <c r="M553" s="179"/>
      <c r="N553" s="179"/>
      <c r="O553" s="179"/>
    </row>
    <row r="554" ht="15.75" customHeight="1">
      <c r="I554" s="179"/>
      <c r="J554" s="179"/>
      <c r="K554" s="179"/>
      <c r="L554" s="179"/>
      <c r="M554" s="179"/>
      <c r="N554" s="179"/>
      <c r="O554" s="179"/>
    </row>
    <row r="555" ht="15.75" customHeight="1">
      <c r="I555" s="179"/>
      <c r="J555" s="179"/>
      <c r="K555" s="179"/>
      <c r="L555" s="179"/>
      <c r="M555" s="179"/>
      <c r="N555" s="179"/>
      <c r="O555" s="179"/>
    </row>
    <row r="556" ht="15.75" customHeight="1">
      <c r="I556" s="179"/>
      <c r="J556" s="179"/>
      <c r="K556" s="179"/>
      <c r="L556" s="179"/>
      <c r="M556" s="179"/>
      <c r="N556" s="179"/>
      <c r="O556" s="179"/>
    </row>
    <row r="557" ht="15.75" customHeight="1">
      <c r="I557" s="179"/>
      <c r="J557" s="179"/>
      <c r="K557" s="179"/>
      <c r="L557" s="179"/>
      <c r="M557" s="179"/>
      <c r="N557" s="179"/>
      <c r="O557" s="179"/>
    </row>
    <row r="558" ht="15.75" customHeight="1">
      <c r="I558" s="179"/>
      <c r="J558" s="179"/>
      <c r="K558" s="179"/>
      <c r="L558" s="179"/>
      <c r="M558" s="179"/>
      <c r="N558" s="179"/>
      <c r="O558" s="179"/>
    </row>
    <row r="559" ht="15.75" customHeight="1">
      <c r="I559" s="179"/>
      <c r="J559" s="179"/>
      <c r="K559" s="179"/>
      <c r="L559" s="179"/>
      <c r="M559" s="179"/>
      <c r="N559" s="179"/>
      <c r="O559" s="179"/>
    </row>
    <row r="560" ht="15.75" customHeight="1">
      <c r="I560" s="179"/>
      <c r="J560" s="179"/>
      <c r="K560" s="179"/>
      <c r="L560" s="179"/>
      <c r="M560" s="179"/>
      <c r="N560" s="179"/>
      <c r="O560" s="179"/>
    </row>
    <row r="561" ht="15.75" customHeight="1">
      <c r="I561" s="179"/>
      <c r="J561" s="179"/>
      <c r="K561" s="179"/>
      <c r="L561" s="179"/>
      <c r="M561" s="179"/>
      <c r="N561" s="179"/>
      <c r="O561" s="179"/>
    </row>
    <row r="562" ht="15.75" customHeight="1">
      <c r="I562" s="179"/>
      <c r="J562" s="179"/>
      <c r="K562" s="179"/>
      <c r="L562" s="179"/>
      <c r="M562" s="179"/>
      <c r="N562" s="179"/>
      <c r="O562" s="179"/>
    </row>
    <row r="563" ht="15.75" customHeight="1">
      <c r="I563" s="179"/>
      <c r="J563" s="179"/>
      <c r="K563" s="179"/>
      <c r="L563" s="179"/>
      <c r="M563" s="179"/>
      <c r="N563" s="179"/>
      <c r="O563" s="179"/>
    </row>
    <row r="564" ht="15.75" customHeight="1">
      <c r="I564" s="179"/>
      <c r="J564" s="179"/>
      <c r="K564" s="179"/>
      <c r="L564" s="179"/>
      <c r="M564" s="179"/>
      <c r="N564" s="179"/>
      <c r="O564" s="179"/>
    </row>
    <row r="565" ht="15.75" customHeight="1">
      <c r="I565" s="179"/>
      <c r="J565" s="179"/>
      <c r="K565" s="179"/>
      <c r="L565" s="179"/>
      <c r="M565" s="179"/>
      <c r="N565" s="179"/>
      <c r="O565" s="179"/>
    </row>
    <row r="566" ht="15.75" customHeight="1">
      <c r="I566" s="179"/>
      <c r="J566" s="179"/>
      <c r="K566" s="179"/>
      <c r="L566" s="179"/>
      <c r="M566" s="179"/>
      <c r="N566" s="179"/>
      <c r="O566" s="179"/>
    </row>
    <row r="567" ht="15.75" customHeight="1">
      <c r="I567" s="179"/>
      <c r="J567" s="179"/>
      <c r="K567" s="179"/>
      <c r="L567" s="179"/>
      <c r="M567" s="179"/>
      <c r="N567" s="179"/>
      <c r="O567" s="179"/>
    </row>
    <row r="568" ht="15.75" customHeight="1">
      <c r="I568" s="179"/>
      <c r="J568" s="179"/>
      <c r="K568" s="179"/>
      <c r="L568" s="179"/>
      <c r="M568" s="179"/>
      <c r="N568" s="179"/>
      <c r="O568" s="179"/>
    </row>
    <row r="569" ht="15.75" customHeight="1">
      <c r="I569" s="179"/>
      <c r="J569" s="179"/>
      <c r="K569" s="179"/>
      <c r="L569" s="179"/>
      <c r="M569" s="179"/>
      <c r="N569" s="179"/>
      <c r="O569" s="179"/>
    </row>
    <row r="570" ht="15.75" customHeight="1">
      <c r="I570" s="179"/>
      <c r="J570" s="179"/>
      <c r="K570" s="179"/>
      <c r="L570" s="179"/>
      <c r="M570" s="179"/>
      <c r="N570" s="179"/>
      <c r="O570" s="179"/>
    </row>
    <row r="571" ht="15.75" customHeight="1">
      <c r="I571" s="179"/>
      <c r="J571" s="179"/>
      <c r="K571" s="179"/>
      <c r="L571" s="179"/>
      <c r="M571" s="179"/>
      <c r="N571" s="179"/>
      <c r="O571" s="179"/>
    </row>
    <row r="572" ht="15.75" customHeight="1">
      <c r="I572" s="179"/>
      <c r="J572" s="179"/>
      <c r="K572" s="179"/>
      <c r="L572" s="179"/>
      <c r="M572" s="179"/>
      <c r="N572" s="179"/>
      <c r="O572" s="179"/>
    </row>
    <row r="573" ht="15.75" customHeight="1">
      <c r="I573" s="179"/>
      <c r="J573" s="179"/>
      <c r="K573" s="179"/>
      <c r="L573" s="179"/>
      <c r="M573" s="179"/>
      <c r="N573" s="179"/>
      <c r="O573" s="179"/>
    </row>
    <row r="574" ht="15.75" customHeight="1">
      <c r="I574" s="179"/>
      <c r="J574" s="179"/>
      <c r="K574" s="179"/>
      <c r="L574" s="179"/>
      <c r="M574" s="179"/>
      <c r="N574" s="179"/>
      <c r="O574" s="179"/>
    </row>
    <row r="575" ht="15.75" customHeight="1">
      <c r="I575" s="179"/>
      <c r="J575" s="179"/>
      <c r="K575" s="179"/>
      <c r="L575" s="179"/>
      <c r="M575" s="179"/>
      <c r="N575" s="179"/>
      <c r="O575" s="179"/>
    </row>
    <row r="576" ht="15.75" customHeight="1">
      <c r="I576" s="179"/>
      <c r="J576" s="179"/>
      <c r="K576" s="179"/>
      <c r="L576" s="179"/>
      <c r="M576" s="179"/>
      <c r="N576" s="179"/>
      <c r="O576" s="179"/>
    </row>
    <row r="577" ht="15.75" customHeight="1">
      <c r="I577" s="179"/>
      <c r="J577" s="179"/>
      <c r="K577" s="179"/>
      <c r="L577" s="179"/>
      <c r="M577" s="179"/>
      <c r="N577" s="179"/>
      <c r="O577" s="179"/>
    </row>
    <row r="578" ht="15.75" customHeight="1">
      <c r="I578" s="179"/>
      <c r="J578" s="179"/>
      <c r="K578" s="179"/>
      <c r="L578" s="179"/>
      <c r="M578" s="179"/>
      <c r="N578" s="179"/>
      <c r="O578" s="179"/>
    </row>
    <row r="579" ht="15.75" customHeight="1">
      <c r="I579" s="179"/>
      <c r="J579" s="179"/>
      <c r="K579" s="179"/>
      <c r="L579" s="179"/>
      <c r="M579" s="179"/>
      <c r="N579" s="179"/>
      <c r="O579" s="179"/>
    </row>
    <row r="580" ht="15.75" customHeight="1">
      <c r="I580" s="179"/>
      <c r="J580" s="179"/>
      <c r="K580" s="179"/>
      <c r="L580" s="179"/>
      <c r="M580" s="179"/>
      <c r="N580" s="179"/>
      <c r="O580" s="179"/>
    </row>
    <row r="581" ht="15.75" customHeight="1">
      <c r="I581" s="179"/>
      <c r="J581" s="179"/>
      <c r="K581" s="179"/>
      <c r="L581" s="179"/>
      <c r="M581" s="179"/>
      <c r="N581" s="179"/>
      <c r="O581" s="179"/>
    </row>
    <row r="582" ht="15.75" customHeight="1">
      <c r="I582" s="179"/>
      <c r="J582" s="179"/>
      <c r="K582" s="179"/>
      <c r="L582" s="179"/>
      <c r="M582" s="179"/>
      <c r="N582" s="179"/>
      <c r="O582" s="179"/>
    </row>
    <row r="583" ht="15.75" customHeight="1">
      <c r="I583" s="179"/>
      <c r="J583" s="179"/>
      <c r="K583" s="179"/>
      <c r="L583" s="179"/>
      <c r="M583" s="179"/>
      <c r="N583" s="179"/>
      <c r="O583" s="179"/>
    </row>
    <row r="584" ht="15.75" customHeight="1">
      <c r="I584" s="179"/>
      <c r="J584" s="179"/>
      <c r="K584" s="179"/>
      <c r="L584" s="179"/>
      <c r="M584" s="179"/>
      <c r="N584" s="179"/>
      <c r="O584" s="179"/>
    </row>
    <row r="585" ht="15.75" customHeight="1">
      <c r="I585" s="179"/>
      <c r="J585" s="179"/>
      <c r="K585" s="179"/>
      <c r="L585" s="179"/>
      <c r="M585" s="179"/>
      <c r="N585" s="179"/>
      <c r="O585" s="179"/>
    </row>
    <row r="586" ht="15.75" customHeight="1">
      <c r="I586" s="179"/>
      <c r="J586" s="179"/>
      <c r="K586" s="179"/>
      <c r="L586" s="179"/>
      <c r="M586" s="179"/>
      <c r="N586" s="179"/>
      <c r="O586" s="179"/>
    </row>
    <row r="587" ht="15.75" customHeight="1">
      <c r="I587" s="179"/>
      <c r="J587" s="179"/>
      <c r="K587" s="179"/>
      <c r="L587" s="179"/>
      <c r="M587" s="179"/>
      <c r="N587" s="179"/>
      <c r="O587" s="179"/>
    </row>
    <row r="588" ht="15.75" customHeight="1">
      <c r="I588" s="179"/>
      <c r="J588" s="179"/>
      <c r="K588" s="179"/>
      <c r="L588" s="179"/>
      <c r="M588" s="179"/>
      <c r="N588" s="179"/>
      <c r="O588" s="179"/>
    </row>
    <row r="589" ht="15.75" customHeight="1">
      <c r="I589" s="179"/>
      <c r="J589" s="179"/>
      <c r="K589" s="179"/>
      <c r="L589" s="179"/>
      <c r="M589" s="179"/>
      <c r="N589" s="179"/>
      <c r="O589" s="179"/>
    </row>
    <row r="590" ht="15.75" customHeight="1">
      <c r="I590" s="179"/>
      <c r="J590" s="179"/>
      <c r="K590" s="179"/>
      <c r="L590" s="179"/>
      <c r="M590" s="179"/>
      <c r="N590" s="179"/>
      <c r="O590" s="179"/>
    </row>
    <row r="591" ht="15.75" customHeight="1">
      <c r="I591" s="179"/>
      <c r="J591" s="179"/>
      <c r="K591" s="179"/>
      <c r="L591" s="179"/>
      <c r="M591" s="179"/>
      <c r="N591" s="179"/>
      <c r="O591" s="179"/>
    </row>
    <row r="592" ht="15.75" customHeight="1">
      <c r="I592" s="179"/>
      <c r="J592" s="179"/>
      <c r="K592" s="179"/>
      <c r="L592" s="179"/>
      <c r="M592" s="179"/>
      <c r="N592" s="179"/>
      <c r="O592" s="179"/>
    </row>
    <row r="593" ht="15.75" customHeight="1">
      <c r="I593" s="179"/>
      <c r="J593" s="179"/>
      <c r="K593" s="179"/>
      <c r="L593" s="179"/>
      <c r="M593" s="179"/>
      <c r="N593" s="179"/>
      <c r="O593" s="179"/>
    </row>
    <row r="594" ht="15.75" customHeight="1">
      <c r="I594" s="179"/>
      <c r="J594" s="179"/>
      <c r="K594" s="179"/>
      <c r="L594" s="179"/>
      <c r="M594" s="179"/>
      <c r="N594" s="179"/>
      <c r="O594" s="179"/>
    </row>
    <row r="595" ht="15.75" customHeight="1">
      <c r="I595" s="179"/>
      <c r="J595" s="179"/>
      <c r="K595" s="179"/>
      <c r="L595" s="179"/>
      <c r="M595" s="179"/>
      <c r="N595" s="179"/>
      <c r="O595" s="179"/>
    </row>
    <row r="596" ht="15.75" customHeight="1">
      <c r="I596" s="179"/>
      <c r="J596" s="179"/>
      <c r="K596" s="179"/>
      <c r="L596" s="179"/>
      <c r="M596" s="179"/>
      <c r="N596" s="179"/>
      <c r="O596" s="179"/>
    </row>
    <row r="597" ht="15.75" customHeight="1">
      <c r="I597" s="179"/>
      <c r="J597" s="179"/>
      <c r="K597" s="179"/>
      <c r="L597" s="179"/>
      <c r="M597" s="179"/>
      <c r="N597" s="179"/>
      <c r="O597" s="179"/>
    </row>
    <row r="598" ht="15.75" customHeight="1">
      <c r="I598" s="179"/>
      <c r="J598" s="179"/>
      <c r="K598" s="179"/>
      <c r="L598" s="179"/>
      <c r="M598" s="179"/>
      <c r="N598" s="179"/>
      <c r="O598" s="179"/>
    </row>
    <row r="599" ht="15.75" customHeight="1">
      <c r="I599" s="179"/>
      <c r="J599" s="179"/>
      <c r="K599" s="179"/>
      <c r="L599" s="179"/>
      <c r="M599" s="179"/>
      <c r="N599" s="179"/>
      <c r="O599" s="179"/>
    </row>
    <row r="600" ht="15.75" customHeight="1">
      <c r="I600" s="179"/>
      <c r="J600" s="179"/>
      <c r="K600" s="179"/>
      <c r="L600" s="179"/>
      <c r="M600" s="179"/>
      <c r="N600" s="179"/>
      <c r="O600" s="179"/>
    </row>
    <row r="601" ht="15.75" customHeight="1">
      <c r="I601" s="179"/>
      <c r="J601" s="179"/>
      <c r="K601" s="179"/>
      <c r="L601" s="179"/>
      <c r="M601" s="179"/>
      <c r="N601" s="179"/>
      <c r="O601" s="179"/>
    </row>
    <row r="602" ht="15.75" customHeight="1">
      <c r="I602" s="179"/>
      <c r="J602" s="179"/>
      <c r="K602" s="179"/>
      <c r="L602" s="179"/>
      <c r="M602" s="179"/>
      <c r="N602" s="179"/>
      <c r="O602" s="179"/>
    </row>
    <row r="603" ht="15.75" customHeight="1">
      <c r="I603" s="179"/>
      <c r="J603" s="179"/>
      <c r="K603" s="179"/>
      <c r="L603" s="179"/>
      <c r="M603" s="179"/>
      <c r="N603" s="179"/>
      <c r="O603" s="179"/>
    </row>
    <row r="604" ht="15.75" customHeight="1">
      <c r="I604" s="179"/>
      <c r="J604" s="179"/>
      <c r="K604" s="179"/>
      <c r="L604" s="179"/>
      <c r="M604" s="179"/>
      <c r="N604" s="179"/>
      <c r="O604" s="179"/>
    </row>
    <row r="605" ht="15.75" customHeight="1">
      <c r="I605" s="179"/>
      <c r="J605" s="179"/>
      <c r="K605" s="179"/>
      <c r="L605" s="179"/>
      <c r="M605" s="179"/>
      <c r="N605" s="179"/>
      <c r="O605" s="179"/>
    </row>
    <row r="606" ht="15.75" customHeight="1">
      <c r="I606" s="179"/>
      <c r="J606" s="179"/>
      <c r="K606" s="179"/>
      <c r="L606" s="179"/>
      <c r="M606" s="179"/>
      <c r="N606" s="179"/>
      <c r="O606" s="179"/>
    </row>
    <row r="607" ht="15.75" customHeight="1">
      <c r="I607" s="179"/>
      <c r="J607" s="179"/>
      <c r="K607" s="179"/>
      <c r="L607" s="179"/>
      <c r="M607" s="179"/>
      <c r="N607" s="179"/>
      <c r="O607" s="179"/>
    </row>
    <row r="608" ht="15.75" customHeight="1">
      <c r="I608" s="179"/>
      <c r="J608" s="179"/>
      <c r="K608" s="179"/>
      <c r="L608" s="179"/>
      <c r="M608" s="179"/>
      <c r="N608" s="179"/>
      <c r="O608" s="179"/>
    </row>
    <row r="609" ht="15.75" customHeight="1">
      <c r="I609" s="179"/>
      <c r="J609" s="179"/>
      <c r="K609" s="179"/>
      <c r="L609" s="179"/>
      <c r="M609" s="179"/>
      <c r="N609" s="179"/>
      <c r="O609" s="179"/>
    </row>
    <row r="610" ht="15.75" customHeight="1">
      <c r="I610" s="179"/>
      <c r="J610" s="179"/>
      <c r="K610" s="179"/>
      <c r="L610" s="179"/>
      <c r="M610" s="179"/>
      <c r="N610" s="179"/>
      <c r="O610" s="179"/>
    </row>
    <row r="611" ht="15.75" customHeight="1">
      <c r="I611" s="179"/>
      <c r="J611" s="179"/>
      <c r="K611" s="179"/>
      <c r="L611" s="179"/>
      <c r="M611" s="179"/>
      <c r="N611" s="179"/>
      <c r="O611" s="179"/>
    </row>
    <row r="612" ht="15.75" customHeight="1">
      <c r="I612" s="179"/>
      <c r="J612" s="179"/>
      <c r="K612" s="179"/>
      <c r="L612" s="179"/>
      <c r="M612" s="179"/>
      <c r="N612" s="179"/>
      <c r="O612" s="179"/>
    </row>
    <row r="613" ht="15.75" customHeight="1">
      <c r="I613" s="179"/>
      <c r="J613" s="179"/>
      <c r="K613" s="179"/>
      <c r="L613" s="179"/>
      <c r="M613" s="179"/>
      <c r="N613" s="179"/>
      <c r="O613" s="179"/>
    </row>
    <row r="614" ht="15.75" customHeight="1">
      <c r="I614" s="179"/>
      <c r="J614" s="179"/>
      <c r="K614" s="179"/>
      <c r="L614" s="179"/>
      <c r="M614" s="179"/>
      <c r="N614" s="179"/>
      <c r="O614" s="179"/>
    </row>
    <row r="615" ht="15.75" customHeight="1">
      <c r="I615" s="179"/>
      <c r="J615" s="179"/>
      <c r="K615" s="179"/>
      <c r="L615" s="179"/>
      <c r="M615" s="179"/>
      <c r="N615" s="179"/>
      <c r="O615" s="179"/>
    </row>
    <row r="616" ht="15.75" customHeight="1">
      <c r="I616" s="179"/>
      <c r="J616" s="179"/>
      <c r="K616" s="179"/>
      <c r="L616" s="179"/>
      <c r="M616" s="179"/>
      <c r="N616" s="179"/>
      <c r="O616" s="179"/>
    </row>
    <row r="617" ht="15.75" customHeight="1">
      <c r="I617" s="179"/>
      <c r="J617" s="179"/>
      <c r="K617" s="179"/>
      <c r="L617" s="179"/>
      <c r="M617" s="179"/>
      <c r="N617" s="179"/>
      <c r="O617" s="179"/>
    </row>
    <row r="618" ht="15.75" customHeight="1">
      <c r="I618" s="179"/>
      <c r="J618" s="179"/>
      <c r="K618" s="179"/>
      <c r="L618" s="179"/>
      <c r="M618" s="179"/>
      <c r="N618" s="179"/>
      <c r="O618" s="179"/>
    </row>
    <row r="619" ht="15.75" customHeight="1">
      <c r="I619" s="179"/>
      <c r="J619" s="179"/>
      <c r="K619" s="179"/>
      <c r="L619" s="179"/>
      <c r="M619" s="179"/>
      <c r="N619" s="179"/>
      <c r="O619" s="179"/>
    </row>
    <row r="620" ht="15.75" customHeight="1">
      <c r="I620" s="179"/>
      <c r="J620" s="179"/>
      <c r="K620" s="179"/>
      <c r="L620" s="179"/>
      <c r="M620" s="179"/>
      <c r="N620" s="179"/>
      <c r="O620" s="179"/>
    </row>
    <row r="621" ht="15.75" customHeight="1">
      <c r="I621" s="179"/>
      <c r="J621" s="179"/>
      <c r="K621" s="179"/>
      <c r="L621" s="179"/>
      <c r="M621" s="179"/>
      <c r="N621" s="179"/>
      <c r="O621" s="179"/>
    </row>
    <row r="622" ht="15.75" customHeight="1">
      <c r="I622" s="179"/>
      <c r="J622" s="179"/>
      <c r="K622" s="179"/>
      <c r="L622" s="179"/>
      <c r="M622" s="179"/>
      <c r="N622" s="179"/>
      <c r="O622" s="179"/>
    </row>
    <row r="623" ht="15.75" customHeight="1">
      <c r="I623" s="179"/>
      <c r="J623" s="179"/>
      <c r="K623" s="179"/>
      <c r="L623" s="179"/>
      <c r="M623" s="179"/>
      <c r="N623" s="179"/>
      <c r="O623" s="179"/>
    </row>
    <row r="624" ht="15.75" customHeight="1">
      <c r="I624" s="179"/>
      <c r="J624" s="179"/>
      <c r="K624" s="179"/>
      <c r="L624" s="179"/>
      <c r="M624" s="179"/>
      <c r="N624" s="179"/>
      <c r="O624" s="179"/>
    </row>
    <row r="625" ht="15.75" customHeight="1">
      <c r="I625" s="179"/>
      <c r="J625" s="179"/>
      <c r="K625" s="179"/>
      <c r="L625" s="179"/>
      <c r="M625" s="179"/>
      <c r="N625" s="179"/>
      <c r="O625" s="179"/>
    </row>
    <row r="626" ht="15.75" customHeight="1">
      <c r="I626" s="179"/>
      <c r="J626" s="179"/>
      <c r="K626" s="179"/>
      <c r="L626" s="179"/>
      <c r="M626" s="179"/>
      <c r="N626" s="179"/>
      <c r="O626" s="179"/>
    </row>
    <row r="627" ht="15.75" customHeight="1">
      <c r="I627" s="179"/>
      <c r="J627" s="179"/>
      <c r="K627" s="179"/>
      <c r="L627" s="179"/>
      <c r="M627" s="179"/>
      <c r="N627" s="179"/>
      <c r="O627" s="179"/>
    </row>
    <row r="628" ht="15.75" customHeight="1">
      <c r="I628" s="179"/>
      <c r="J628" s="179"/>
      <c r="K628" s="179"/>
      <c r="L628" s="179"/>
      <c r="M628" s="179"/>
      <c r="N628" s="179"/>
      <c r="O628" s="179"/>
    </row>
    <row r="629" ht="15.75" customHeight="1">
      <c r="I629" s="179"/>
      <c r="J629" s="179"/>
      <c r="K629" s="179"/>
      <c r="L629" s="179"/>
      <c r="M629" s="179"/>
      <c r="N629" s="179"/>
      <c r="O629" s="179"/>
    </row>
    <row r="630" ht="15.75" customHeight="1">
      <c r="I630" s="179"/>
      <c r="J630" s="179"/>
      <c r="K630" s="179"/>
      <c r="L630" s="179"/>
      <c r="M630" s="179"/>
      <c r="N630" s="179"/>
      <c r="O630" s="179"/>
    </row>
    <row r="631" ht="15.75" customHeight="1">
      <c r="I631" s="179"/>
      <c r="J631" s="179"/>
      <c r="K631" s="179"/>
      <c r="L631" s="179"/>
      <c r="M631" s="179"/>
      <c r="N631" s="179"/>
      <c r="O631" s="179"/>
    </row>
    <row r="632" ht="15.75" customHeight="1">
      <c r="I632" s="179"/>
      <c r="J632" s="179"/>
      <c r="K632" s="179"/>
      <c r="L632" s="179"/>
      <c r="M632" s="179"/>
      <c r="N632" s="179"/>
      <c r="O632" s="179"/>
    </row>
    <row r="633" ht="15.75" customHeight="1">
      <c r="I633" s="179"/>
      <c r="J633" s="179"/>
      <c r="K633" s="179"/>
      <c r="L633" s="179"/>
      <c r="M633" s="179"/>
      <c r="N633" s="179"/>
      <c r="O633" s="179"/>
    </row>
    <row r="634" ht="15.75" customHeight="1">
      <c r="I634" s="179"/>
      <c r="J634" s="179"/>
      <c r="K634" s="179"/>
      <c r="L634" s="179"/>
      <c r="M634" s="179"/>
      <c r="N634" s="179"/>
      <c r="O634" s="179"/>
    </row>
    <row r="635" ht="15.75" customHeight="1">
      <c r="I635" s="179"/>
      <c r="J635" s="179"/>
      <c r="K635" s="179"/>
      <c r="L635" s="179"/>
      <c r="M635" s="179"/>
      <c r="N635" s="179"/>
      <c r="O635" s="179"/>
    </row>
    <row r="636" ht="15.75" customHeight="1">
      <c r="I636" s="179"/>
      <c r="J636" s="179"/>
      <c r="K636" s="179"/>
      <c r="L636" s="179"/>
      <c r="M636" s="179"/>
      <c r="N636" s="179"/>
      <c r="O636" s="179"/>
    </row>
    <row r="637" ht="15.75" customHeight="1">
      <c r="I637" s="179"/>
      <c r="J637" s="179"/>
      <c r="K637" s="179"/>
      <c r="L637" s="179"/>
      <c r="M637" s="179"/>
      <c r="N637" s="179"/>
      <c r="O637" s="179"/>
    </row>
    <row r="638" ht="15.75" customHeight="1">
      <c r="I638" s="179"/>
      <c r="J638" s="179"/>
      <c r="K638" s="179"/>
      <c r="L638" s="179"/>
      <c r="M638" s="179"/>
      <c r="N638" s="179"/>
      <c r="O638" s="179"/>
    </row>
    <row r="639" ht="15.75" customHeight="1">
      <c r="I639" s="179"/>
      <c r="J639" s="179"/>
      <c r="K639" s="179"/>
      <c r="L639" s="179"/>
      <c r="M639" s="179"/>
      <c r="N639" s="179"/>
      <c r="O639" s="179"/>
    </row>
    <row r="640" ht="15.75" customHeight="1">
      <c r="I640" s="179"/>
      <c r="J640" s="179"/>
      <c r="K640" s="179"/>
      <c r="L640" s="179"/>
      <c r="M640" s="179"/>
      <c r="N640" s="179"/>
      <c r="O640" s="179"/>
    </row>
    <row r="641" ht="15.75" customHeight="1">
      <c r="I641" s="179"/>
      <c r="J641" s="179"/>
      <c r="K641" s="179"/>
      <c r="L641" s="179"/>
      <c r="M641" s="179"/>
      <c r="N641" s="179"/>
      <c r="O641" s="179"/>
    </row>
    <row r="642" ht="15.75" customHeight="1">
      <c r="I642" s="179"/>
      <c r="J642" s="179"/>
      <c r="K642" s="179"/>
      <c r="L642" s="179"/>
      <c r="M642" s="179"/>
      <c r="N642" s="179"/>
      <c r="O642" s="179"/>
    </row>
    <row r="643" ht="15.75" customHeight="1">
      <c r="I643" s="179"/>
      <c r="J643" s="179"/>
      <c r="K643" s="179"/>
      <c r="L643" s="179"/>
      <c r="M643" s="179"/>
      <c r="N643" s="179"/>
      <c r="O643" s="179"/>
    </row>
    <row r="644" ht="15.75" customHeight="1">
      <c r="I644" s="179"/>
      <c r="J644" s="179"/>
      <c r="K644" s="179"/>
      <c r="L644" s="179"/>
      <c r="M644" s="179"/>
      <c r="N644" s="179"/>
      <c r="O644" s="179"/>
    </row>
    <row r="645" ht="15.75" customHeight="1">
      <c r="I645" s="179"/>
      <c r="J645" s="179"/>
      <c r="K645" s="179"/>
      <c r="L645" s="179"/>
      <c r="M645" s="179"/>
      <c r="N645" s="179"/>
      <c r="O645" s="179"/>
    </row>
    <row r="646" ht="15.75" customHeight="1">
      <c r="I646" s="179"/>
      <c r="J646" s="179"/>
      <c r="K646" s="179"/>
      <c r="L646" s="179"/>
      <c r="M646" s="179"/>
      <c r="N646" s="179"/>
      <c r="O646" s="179"/>
    </row>
    <row r="647" ht="15.75" customHeight="1">
      <c r="I647" s="179"/>
      <c r="J647" s="179"/>
      <c r="K647" s="179"/>
      <c r="L647" s="179"/>
      <c r="M647" s="179"/>
      <c r="N647" s="179"/>
      <c r="O647" s="179"/>
    </row>
    <row r="648" ht="15.75" customHeight="1">
      <c r="I648" s="179"/>
      <c r="J648" s="179"/>
      <c r="K648" s="179"/>
      <c r="L648" s="179"/>
      <c r="M648" s="179"/>
      <c r="N648" s="179"/>
      <c r="O648" s="179"/>
    </row>
    <row r="649" ht="15.75" customHeight="1">
      <c r="I649" s="179"/>
      <c r="J649" s="179"/>
      <c r="K649" s="179"/>
      <c r="L649" s="179"/>
      <c r="M649" s="179"/>
      <c r="N649" s="179"/>
      <c r="O649" s="179"/>
    </row>
    <row r="650" ht="15.75" customHeight="1">
      <c r="I650" s="179"/>
      <c r="J650" s="179"/>
      <c r="K650" s="179"/>
      <c r="L650" s="179"/>
      <c r="M650" s="179"/>
      <c r="N650" s="179"/>
      <c r="O650" s="179"/>
    </row>
    <row r="651" ht="15.75" customHeight="1">
      <c r="I651" s="179"/>
      <c r="J651" s="179"/>
      <c r="K651" s="179"/>
      <c r="L651" s="179"/>
      <c r="M651" s="179"/>
      <c r="N651" s="179"/>
      <c r="O651" s="179"/>
    </row>
    <row r="652" ht="15.75" customHeight="1">
      <c r="I652" s="179"/>
      <c r="J652" s="179"/>
      <c r="K652" s="179"/>
      <c r="L652" s="179"/>
      <c r="M652" s="179"/>
      <c r="N652" s="179"/>
      <c r="O652" s="179"/>
    </row>
    <row r="653" ht="15.75" customHeight="1">
      <c r="I653" s="179"/>
      <c r="J653" s="179"/>
      <c r="K653" s="179"/>
      <c r="L653" s="179"/>
      <c r="M653" s="179"/>
      <c r="N653" s="179"/>
      <c r="O653" s="179"/>
    </row>
    <row r="654" ht="15.75" customHeight="1">
      <c r="I654" s="179"/>
      <c r="J654" s="179"/>
      <c r="K654" s="179"/>
      <c r="L654" s="179"/>
      <c r="M654" s="179"/>
      <c r="N654" s="179"/>
      <c r="O654" s="179"/>
    </row>
    <row r="655" ht="15.75" customHeight="1">
      <c r="I655" s="179"/>
      <c r="J655" s="179"/>
      <c r="K655" s="179"/>
      <c r="L655" s="179"/>
      <c r="M655" s="179"/>
      <c r="N655" s="179"/>
      <c r="O655" s="179"/>
    </row>
    <row r="656" ht="15.75" customHeight="1">
      <c r="I656" s="179"/>
      <c r="J656" s="179"/>
      <c r="K656" s="179"/>
      <c r="L656" s="179"/>
      <c r="M656" s="179"/>
      <c r="N656" s="179"/>
      <c r="O656" s="179"/>
    </row>
    <row r="657" ht="15.75" customHeight="1">
      <c r="I657" s="179"/>
      <c r="J657" s="179"/>
      <c r="K657" s="179"/>
      <c r="L657" s="179"/>
      <c r="M657" s="179"/>
      <c r="N657" s="179"/>
      <c r="O657" s="179"/>
    </row>
    <row r="658" ht="15.75" customHeight="1">
      <c r="I658" s="179"/>
      <c r="J658" s="179"/>
      <c r="K658" s="179"/>
      <c r="L658" s="179"/>
      <c r="M658" s="179"/>
      <c r="N658" s="179"/>
      <c r="O658" s="179"/>
    </row>
    <row r="659" ht="15.75" customHeight="1">
      <c r="I659" s="179"/>
      <c r="J659" s="179"/>
      <c r="K659" s="179"/>
      <c r="L659" s="179"/>
      <c r="M659" s="179"/>
      <c r="N659" s="179"/>
      <c r="O659" s="179"/>
    </row>
    <row r="660" ht="15.75" customHeight="1">
      <c r="I660" s="179"/>
      <c r="J660" s="179"/>
      <c r="K660" s="179"/>
      <c r="L660" s="179"/>
      <c r="M660" s="179"/>
      <c r="N660" s="179"/>
      <c r="O660" s="179"/>
    </row>
    <row r="661" ht="15.75" customHeight="1">
      <c r="I661" s="179"/>
      <c r="J661" s="179"/>
      <c r="K661" s="179"/>
      <c r="L661" s="179"/>
      <c r="M661" s="179"/>
      <c r="N661" s="179"/>
      <c r="O661" s="179"/>
    </row>
    <row r="662" ht="15.75" customHeight="1">
      <c r="I662" s="179"/>
      <c r="J662" s="179"/>
      <c r="K662" s="179"/>
      <c r="L662" s="179"/>
      <c r="M662" s="179"/>
      <c r="N662" s="179"/>
      <c r="O662" s="179"/>
    </row>
    <row r="663" ht="15.75" customHeight="1">
      <c r="I663" s="179"/>
      <c r="J663" s="179"/>
      <c r="K663" s="179"/>
      <c r="L663" s="179"/>
      <c r="M663" s="179"/>
      <c r="N663" s="179"/>
      <c r="O663" s="179"/>
    </row>
    <row r="664" ht="15.75" customHeight="1">
      <c r="I664" s="179"/>
      <c r="J664" s="179"/>
      <c r="K664" s="179"/>
      <c r="L664" s="179"/>
      <c r="M664" s="179"/>
      <c r="N664" s="179"/>
      <c r="O664" s="179"/>
    </row>
    <row r="665" ht="15.75" customHeight="1">
      <c r="I665" s="179"/>
      <c r="J665" s="179"/>
      <c r="K665" s="179"/>
      <c r="L665" s="179"/>
      <c r="M665" s="179"/>
      <c r="N665" s="179"/>
      <c r="O665" s="179"/>
    </row>
    <row r="666" ht="15.75" customHeight="1">
      <c r="I666" s="179"/>
      <c r="J666" s="179"/>
      <c r="K666" s="179"/>
      <c r="L666" s="179"/>
      <c r="M666" s="179"/>
      <c r="N666" s="179"/>
      <c r="O666" s="179"/>
    </row>
    <row r="667" ht="15.75" customHeight="1">
      <c r="I667" s="179"/>
      <c r="J667" s="179"/>
      <c r="K667" s="179"/>
      <c r="L667" s="179"/>
      <c r="M667" s="179"/>
      <c r="N667" s="179"/>
      <c r="O667" s="179"/>
    </row>
    <row r="668" ht="15.75" customHeight="1">
      <c r="I668" s="179"/>
      <c r="J668" s="179"/>
      <c r="K668" s="179"/>
      <c r="L668" s="179"/>
      <c r="M668" s="179"/>
      <c r="N668" s="179"/>
      <c r="O668" s="179"/>
    </row>
    <row r="669" ht="15.75" customHeight="1">
      <c r="I669" s="179"/>
      <c r="J669" s="179"/>
      <c r="K669" s="179"/>
      <c r="L669" s="179"/>
      <c r="M669" s="179"/>
      <c r="N669" s="179"/>
      <c r="O669" s="179"/>
    </row>
    <row r="670" ht="15.75" customHeight="1">
      <c r="I670" s="179"/>
      <c r="J670" s="179"/>
      <c r="K670" s="179"/>
      <c r="L670" s="179"/>
      <c r="M670" s="179"/>
      <c r="N670" s="179"/>
      <c r="O670" s="179"/>
    </row>
    <row r="671" ht="15.75" customHeight="1">
      <c r="I671" s="179"/>
      <c r="J671" s="179"/>
      <c r="K671" s="179"/>
      <c r="L671" s="179"/>
      <c r="M671" s="179"/>
      <c r="N671" s="179"/>
      <c r="O671" s="179"/>
    </row>
    <row r="672" ht="15.75" customHeight="1">
      <c r="I672" s="179"/>
      <c r="J672" s="179"/>
      <c r="K672" s="179"/>
      <c r="L672" s="179"/>
      <c r="M672" s="179"/>
      <c r="N672" s="179"/>
      <c r="O672" s="179"/>
    </row>
    <row r="673" ht="15.75" customHeight="1">
      <c r="I673" s="179"/>
      <c r="J673" s="179"/>
      <c r="K673" s="179"/>
      <c r="L673" s="179"/>
      <c r="M673" s="179"/>
      <c r="N673" s="179"/>
      <c r="O673" s="179"/>
    </row>
    <row r="674" ht="15.75" customHeight="1">
      <c r="I674" s="179"/>
      <c r="J674" s="179"/>
      <c r="K674" s="179"/>
      <c r="L674" s="179"/>
      <c r="M674" s="179"/>
      <c r="N674" s="179"/>
      <c r="O674" s="179"/>
    </row>
    <row r="675" ht="15.75" customHeight="1">
      <c r="I675" s="179"/>
      <c r="J675" s="179"/>
      <c r="K675" s="179"/>
      <c r="L675" s="179"/>
      <c r="M675" s="179"/>
      <c r="N675" s="179"/>
      <c r="O675" s="179"/>
    </row>
    <row r="676" ht="15.75" customHeight="1">
      <c r="I676" s="179"/>
      <c r="J676" s="179"/>
      <c r="K676" s="179"/>
      <c r="L676" s="179"/>
      <c r="M676" s="179"/>
      <c r="N676" s="179"/>
      <c r="O676" s="179"/>
    </row>
    <row r="677" ht="15.75" customHeight="1">
      <c r="I677" s="179"/>
      <c r="J677" s="179"/>
      <c r="K677" s="179"/>
      <c r="L677" s="179"/>
      <c r="M677" s="179"/>
      <c r="N677" s="179"/>
      <c r="O677" s="179"/>
    </row>
    <row r="678" ht="15.75" customHeight="1">
      <c r="I678" s="179"/>
      <c r="J678" s="179"/>
      <c r="K678" s="179"/>
      <c r="L678" s="179"/>
      <c r="M678" s="179"/>
      <c r="N678" s="179"/>
      <c r="O678" s="179"/>
    </row>
    <row r="679" ht="15.75" customHeight="1">
      <c r="I679" s="179"/>
      <c r="J679" s="179"/>
      <c r="K679" s="179"/>
      <c r="L679" s="179"/>
      <c r="M679" s="179"/>
      <c r="N679" s="179"/>
      <c r="O679" s="179"/>
    </row>
    <row r="680" ht="15.75" customHeight="1">
      <c r="I680" s="179"/>
      <c r="J680" s="179"/>
      <c r="K680" s="179"/>
      <c r="L680" s="179"/>
      <c r="M680" s="179"/>
      <c r="N680" s="179"/>
      <c r="O680" s="179"/>
    </row>
    <row r="681" ht="15.75" customHeight="1">
      <c r="I681" s="179"/>
      <c r="J681" s="179"/>
      <c r="K681" s="179"/>
      <c r="L681" s="179"/>
      <c r="M681" s="179"/>
      <c r="N681" s="179"/>
      <c r="O681" s="179"/>
    </row>
    <row r="682" ht="15.75" customHeight="1">
      <c r="I682" s="179"/>
      <c r="J682" s="179"/>
      <c r="K682" s="179"/>
      <c r="L682" s="179"/>
      <c r="M682" s="179"/>
      <c r="N682" s="179"/>
      <c r="O682" s="179"/>
    </row>
    <row r="683" ht="15.75" customHeight="1">
      <c r="I683" s="179"/>
      <c r="J683" s="179"/>
      <c r="K683" s="179"/>
      <c r="L683" s="179"/>
      <c r="M683" s="179"/>
      <c r="N683" s="179"/>
      <c r="O683" s="179"/>
    </row>
    <row r="684" ht="15.75" customHeight="1">
      <c r="I684" s="179"/>
      <c r="J684" s="179"/>
      <c r="K684" s="179"/>
      <c r="L684" s="179"/>
      <c r="M684" s="179"/>
      <c r="N684" s="179"/>
      <c r="O684" s="179"/>
    </row>
    <row r="685" ht="15.75" customHeight="1">
      <c r="I685" s="179"/>
      <c r="J685" s="179"/>
      <c r="K685" s="179"/>
      <c r="L685" s="179"/>
      <c r="M685" s="179"/>
      <c r="N685" s="179"/>
      <c r="O685" s="179"/>
    </row>
    <row r="686" ht="15.75" customHeight="1">
      <c r="I686" s="179"/>
      <c r="J686" s="179"/>
      <c r="K686" s="179"/>
      <c r="L686" s="179"/>
      <c r="M686" s="179"/>
      <c r="N686" s="179"/>
      <c r="O686" s="179"/>
    </row>
    <row r="687" ht="15.75" customHeight="1">
      <c r="I687" s="179"/>
      <c r="J687" s="179"/>
      <c r="K687" s="179"/>
      <c r="L687" s="179"/>
      <c r="M687" s="179"/>
      <c r="N687" s="179"/>
      <c r="O687" s="179"/>
    </row>
    <row r="688" ht="15.75" customHeight="1">
      <c r="I688" s="179"/>
      <c r="J688" s="179"/>
      <c r="K688" s="179"/>
      <c r="L688" s="179"/>
      <c r="M688" s="179"/>
      <c r="N688" s="179"/>
      <c r="O688" s="179"/>
    </row>
    <row r="689" ht="15.75" customHeight="1">
      <c r="I689" s="179"/>
      <c r="J689" s="179"/>
      <c r="K689" s="179"/>
      <c r="L689" s="179"/>
      <c r="M689" s="179"/>
      <c r="N689" s="179"/>
      <c r="O689" s="179"/>
    </row>
    <row r="690" ht="15.75" customHeight="1">
      <c r="I690" s="179"/>
      <c r="J690" s="179"/>
      <c r="K690" s="179"/>
      <c r="L690" s="179"/>
      <c r="M690" s="179"/>
      <c r="N690" s="179"/>
      <c r="O690" s="179"/>
    </row>
    <row r="691" ht="15.75" customHeight="1">
      <c r="I691" s="179"/>
      <c r="J691" s="179"/>
      <c r="K691" s="179"/>
      <c r="L691" s="179"/>
      <c r="M691" s="179"/>
      <c r="N691" s="179"/>
      <c r="O691" s="179"/>
    </row>
    <row r="692" ht="15.75" customHeight="1">
      <c r="I692" s="179"/>
      <c r="J692" s="179"/>
      <c r="K692" s="179"/>
      <c r="L692" s="179"/>
      <c r="M692" s="179"/>
      <c r="N692" s="179"/>
      <c r="O692" s="179"/>
    </row>
    <row r="693" ht="15.75" customHeight="1">
      <c r="I693" s="179"/>
      <c r="J693" s="179"/>
      <c r="K693" s="179"/>
      <c r="L693" s="179"/>
      <c r="M693" s="179"/>
      <c r="N693" s="179"/>
      <c r="O693" s="179"/>
    </row>
    <row r="694" ht="15.75" customHeight="1">
      <c r="I694" s="179"/>
      <c r="J694" s="179"/>
      <c r="K694" s="179"/>
      <c r="L694" s="179"/>
      <c r="M694" s="179"/>
      <c r="N694" s="179"/>
      <c r="O694" s="179"/>
    </row>
    <row r="695" ht="15.75" customHeight="1">
      <c r="I695" s="179"/>
      <c r="J695" s="179"/>
      <c r="K695" s="179"/>
      <c r="L695" s="179"/>
      <c r="M695" s="179"/>
      <c r="N695" s="179"/>
      <c r="O695" s="179"/>
    </row>
    <row r="696" ht="15.75" customHeight="1">
      <c r="I696" s="179"/>
      <c r="J696" s="179"/>
      <c r="K696" s="179"/>
      <c r="L696" s="179"/>
      <c r="M696" s="179"/>
      <c r="N696" s="179"/>
      <c r="O696" s="179"/>
    </row>
    <row r="697" ht="15.75" customHeight="1">
      <c r="I697" s="179"/>
      <c r="J697" s="179"/>
      <c r="K697" s="179"/>
      <c r="L697" s="179"/>
      <c r="M697" s="179"/>
      <c r="N697" s="179"/>
      <c r="O697" s="179"/>
    </row>
    <row r="698" ht="15.75" customHeight="1">
      <c r="I698" s="179"/>
      <c r="J698" s="179"/>
      <c r="K698" s="179"/>
      <c r="L698" s="179"/>
      <c r="M698" s="179"/>
      <c r="N698" s="179"/>
      <c r="O698" s="179"/>
    </row>
    <row r="699" ht="15.75" customHeight="1">
      <c r="I699" s="179"/>
      <c r="J699" s="179"/>
      <c r="K699" s="179"/>
      <c r="L699" s="179"/>
      <c r="M699" s="179"/>
      <c r="N699" s="179"/>
      <c r="O699" s="179"/>
    </row>
    <row r="700" ht="15.75" customHeight="1">
      <c r="I700" s="179"/>
      <c r="J700" s="179"/>
      <c r="K700" s="179"/>
      <c r="L700" s="179"/>
      <c r="M700" s="179"/>
      <c r="N700" s="179"/>
      <c r="O700" s="179"/>
    </row>
    <row r="701" ht="15.75" customHeight="1">
      <c r="I701" s="179"/>
      <c r="J701" s="179"/>
      <c r="K701" s="179"/>
      <c r="L701" s="179"/>
      <c r="M701" s="179"/>
      <c r="N701" s="179"/>
      <c r="O701" s="179"/>
    </row>
    <row r="702" ht="15.75" customHeight="1">
      <c r="I702" s="179"/>
      <c r="J702" s="179"/>
      <c r="K702" s="179"/>
      <c r="L702" s="179"/>
      <c r="M702" s="179"/>
      <c r="N702" s="179"/>
      <c r="O702" s="179"/>
    </row>
    <row r="703" ht="15.75" customHeight="1">
      <c r="I703" s="179"/>
      <c r="J703" s="179"/>
      <c r="K703" s="179"/>
      <c r="L703" s="179"/>
      <c r="M703" s="179"/>
      <c r="N703" s="179"/>
      <c r="O703" s="179"/>
    </row>
    <row r="704" ht="15.75" customHeight="1">
      <c r="I704" s="179"/>
      <c r="J704" s="179"/>
      <c r="K704" s="179"/>
      <c r="L704" s="179"/>
      <c r="M704" s="179"/>
      <c r="N704" s="179"/>
      <c r="O704" s="179"/>
    </row>
    <row r="705" ht="15.75" customHeight="1">
      <c r="I705" s="179"/>
      <c r="J705" s="179"/>
      <c r="K705" s="179"/>
      <c r="L705" s="179"/>
      <c r="M705" s="179"/>
      <c r="N705" s="179"/>
      <c r="O705" s="179"/>
    </row>
    <row r="706" ht="15.75" customHeight="1">
      <c r="I706" s="179"/>
      <c r="J706" s="179"/>
      <c r="K706" s="179"/>
      <c r="L706" s="179"/>
      <c r="M706" s="179"/>
      <c r="N706" s="179"/>
      <c r="O706" s="179"/>
    </row>
    <row r="707" ht="15.75" customHeight="1">
      <c r="I707" s="179"/>
      <c r="J707" s="179"/>
      <c r="K707" s="179"/>
      <c r="L707" s="179"/>
      <c r="M707" s="179"/>
      <c r="N707" s="179"/>
      <c r="O707" s="179"/>
    </row>
    <row r="708" ht="15.75" customHeight="1">
      <c r="I708" s="179"/>
      <c r="J708" s="179"/>
      <c r="K708" s="179"/>
      <c r="L708" s="179"/>
      <c r="M708" s="179"/>
      <c r="N708" s="179"/>
      <c r="O708" s="179"/>
    </row>
    <row r="709" ht="15.75" customHeight="1">
      <c r="I709" s="179"/>
      <c r="J709" s="179"/>
      <c r="K709" s="179"/>
      <c r="L709" s="179"/>
      <c r="M709" s="179"/>
      <c r="N709" s="179"/>
      <c r="O709" s="179"/>
    </row>
    <row r="710" ht="15.75" customHeight="1">
      <c r="I710" s="179"/>
      <c r="J710" s="179"/>
      <c r="K710" s="179"/>
      <c r="L710" s="179"/>
      <c r="M710" s="179"/>
      <c r="N710" s="179"/>
      <c r="O710" s="179"/>
    </row>
    <row r="711" ht="15.75" customHeight="1">
      <c r="I711" s="179"/>
      <c r="J711" s="179"/>
      <c r="K711" s="179"/>
      <c r="L711" s="179"/>
      <c r="M711" s="179"/>
      <c r="N711" s="179"/>
      <c r="O711" s="179"/>
    </row>
    <row r="712" ht="15.75" customHeight="1">
      <c r="I712" s="179"/>
      <c r="J712" s="179"/>
      <c r="K712" s="179"/>
      <c r="L712" s="179"/>
      <c r="M712" s="179"/>
      <c r="N712" s="179"/>
      <c r="O712" s="179"/>
    </row>
    <row r="713" ht="15.75" customHeight="1">
      <c r="I713" s="179"/>
      <c r="J713" s="179"/>
      <c r="K713" s="179"/>
      <c r="L713" s="179"/>
      <c r="M713" s="179"/>
      <c r="N713" s="179"/>
      <c r="O713" s="179"/>
    </row>
    <row r="714" ht="15.75" customHeight="1">
      <c r="I714" s="179"/>
      <c r="J714" s="179"/>
      <c r="K714" s="179"/>
      <c r="L714" s="179"/>
      <c r="M714" s="179"/>
      <c r="N714" s="179"/>
      <c r="O714" s="179"/>
    </row>
    <row r="715" ht="15.75" customHeight="1">
      <c r="I715" s="179"/>
      <c r="J715" s="179"/>
      <c r="K715" s="179"/>
      <c r="L715" s="179"/>
      <c r="M715" s="179"/>
      <c r="N715" s="179"/>
      <c r="O715" s="179"/>
    </row>
    <row r="716" ht="15.75" customHeight="1">
      <c r="I716" s="179"/>
      <c r="J716" s="179"/>
      <c r="K716" s="179"/>
      <c r="L716" s="179"/>
      <c r="M716" s="179"/>
      <c r="N716" s="179"/>
      <c r="O716" s="179"/>
    </row>
    <row r="717" ht="15.75" customHeight="1">
      <c r="I717" s="179"/>
      <c r="J717" s="179"/>
      <c r="K717" s="179"/>
      <c r="L717" s="179"/>
      <c r="M717" s="179"/>
      <c r="N717" s="179"/>
      <c r="O717" s="179"/>
    </row>
    <row r="718" ht="15.75" customHeight="1">
      <c r="I718" s="179"/>
      <c r="J718" s="179"/>
      <c r="K718" s="179"/>
      <c r="L718" s="179"/>
      <c r="M718" s="179"/>
      <c r="N718" s="179"/>
      <c r="O718" s="179"/>
    </row>
    <row r="719" ht="15.75" customHeight="1">
      <c r="I719" s="179"/>
      <c r="J719" s="179"/>
      <c r="K719" s="179"/>
      <c r="L719" s="179"/>
      <c r="M719" s="179"/>
      <c r="N719" s="179"/>
      <c r="O719" s="179"/>
    </row>
    <row r="720" ht="15.75" customHeight="1">
      <c r="I720" s="179"/>
      <c r="J720" s="179"/>
      <c r="K720" s="179"/>
      <c r="L720" s="179"/>
      <c r="M720" s="179"/>
      <c r="N720" s="179"/>
      <c r="O720" s="179"/>
    </row>
    <row r="721" ht="15.75" customHeight="1">
      <c r="I721" s="179"/>
      <c r="J721" s="179"/>
      <c r="K721" s="179"/>
      <c r="L721" s="179"/>
      <c r="M721" s="179"/>
      <c r="N721" s="179"/>
      <c r="O721" s="179"/>
    </row>
    <row r="722" ht="15.75" customHeight="1">
      <c r="I722" s="179"/>
      <c r="J722" s="179"/>
      <c r="K722" s="179"/>
      <c r="L722" s="179"/>
      <c r="M722" s="179"/>
      <c r="N722" s="179"/>
      <c r="O722" s="179"/>
    </row>
    <row r="723" ht="15.75" customHeight="1">
      <c r="I723" s="179"/>
      <c r="J723" s="179"/>
      <c r="K723" s="179"/>
      <c r="L723" s="179"/>
      <c r="M723" s="179"/>
      <c r="N723" s="179"/>
      <c r="O723" s="179"/>
    </row>
    <row r="724" ht="15.75" customHeight="1">
      <c r="I724" s="179"/>
      <c r="J724" s="179"/>
      <c r="K724" s="179"/>
      <c r="L724" s="179"/>
      <c r="M724" s="179"/>
      <c r="N724" s="179"/>
      <c r="O724" s="179"/>
    </row>
    <row r="725" ht="15.75" customHeight="1">
      <c r="I725" s="179"/>
      <c r="J725" s="179"/>
      <c r="K725" s="179"/>
      <c r="L725" s="179"/>
      <c r="M725" s="179"/>
      <c r="N725" s="179"/>
      <c r="O725" s="179"/>
    </row>
    <row r="726" ht="15.75" customHeight="1">
      <c r="I726" s="179"/>
      <c r="J726" s="179"/>
      <c r="K726" s="179"/>
      <c r="L726" s="179"/>
      <c r="M726" s="179"/>
      <c r="N726" s="179"/>
      <c r="O726" s="179"/>
    </row>
    <row r="727" ht="15.75" customHeight="1">
      <c r="I727" s="179"/>
      <c r="J727" s="179"/>
      <c r="K727" s="179"/>
      <c r="L727" s="179"/>
      <c r="M727" s="179"/>
      <c r="N727" s="179"/>
      <c r="O727" s="179"/>
    </row>
    <row r="728" ht="15.75" customHeight="1">
      <c r="I728" s="179"/>
      <c r="J728" s="179"/>
      <c r="K728" s="179"/>
      <c r="L728" s="179"/>
      <c r="M728" s="179"/>
      <c r="N728" s="179"/>
      <c r="O728" s="179"/>
    </row>
    <row r="729" ht="15.75" customHeight="1">
      <c r="I729" s="179"/>
      <c r="J729" s="179"/>
      <c r="K729" s="179"/>
      <c r="L729" s="179"/>
      <c r="M729" s="179"/>
      <c r="N729" s="179"/>
      <c r="O729" s="179"/>
    </row>
    <row r="730" ht="15.75" customHeight="1">
      <c r="I730" s="179"/>
      <c r="J730" s="179"/>
      <c r="K730" s="179"/>
      <c r="L730" s="179"/>
      <c r="M730" s="179"/>
      <c r="N730" s="179"/>
      <c r="O730" s="179"/>
    </row>
    <row r="731" ht="15.75" customHeight="1">
      <c r="I731" s="179"/>
      <c r="J731" s="179"/>
      <c r="K731" s="179"/>
      <c r="L731" s="179"/>
      <c r="M731" s="179"/>
      <c r="N731" s="179"/>
      <c r="O731" s="179"/>
    </row>
    <row r="732" ht="15.75" customHeight="1">
      <c r="I732" s="179"/>
      <c r="J732" s="179"/>
      <c r="K732" s="179"/>
      <c r="L732" s="179"/>
      <c r="M732" s="179"/>
      <c r="N732" s="179"/>
      <c r="O732" s="179"/>
    </row>
    <row r="733" ht="15.75" customHeight="1">
      <c r="I733" s="179"/>
      <c r="J733" s="179"/>
      <c r="K733" s="179"/>
      <c r="L733" s="179"/>
      <c r="M733" s="179"/>
      <c r="N733" s="179"/>
      <c r="O733" s="179"/>
    </row>
    <row r="734" ht="15.75" customHeight="1">
      <c r="I734" s="179"/>
      <c r="J734" s="179"/>
      <c r="K734" s="179"/>
      <c r="L734" s="179"/>
      <c r="M734" s="179"/>
      <c r="N734" s="179"/>
      <c r="O734" s="179"/>
    </row>
    <row r="735" ht="15.75" customHeight="1">
      <c r="I735" s="179"/>
      <c r="J735" s="179"/>
      <c r="K735" s="179"/>
      <c r="L735" s="179"/>
      <c r="M735" s="179"/>
      <c r="N735" s="179"/>
      <c r="O735" s="179"/>
    </row>
    <row r="736" ht="15.75" customHeight="1">
      <c r="I736" s="179"/>
      <c r="J736" s="179"/>
      <c r="K736" s="179"/>
      <c r="L736" s="179"/>
      <c r="M736" s="179"/>
      <c r="N736" s="179"/>
      <c r="O736" s="179"/>
    </row>
    <row r="737" ht="15.75" customHeight="1">
      <c r="I737" s="179"/>
      <c r="J737" s="179"/>
      <c r="K737" s="179"/>
      <c r="L737" s="179"/>
      <c r="M737" s="179"/>
      <c r="N737" s="179"/>
      <c r="O737" s="179"/>
    </row>
    <row r="738" ht="15.75" customHeight="1">
      <c r="I738" s="179"/>
      <c r="J738" s="179"/>
      <c r="K738" s="179"/>
      <c r="L738" s="179"/>
      <c r="M738" s="179"/>
      <c r="N738" s="179"/>
      <c r="O738" s="179"/>
    </row>
    <row r="739" ht="15.75" customHeight="1">
      <c r="I739" s="179"/>
      <c r="J739" s="179"/>
      <c r="K739" s="179"/>
      <c r="L739" s="179"/>
      <c r="M739" s="179"/>
      <c r="N739" s="179"/>
      <c r="O739" s="179"/>
    </row>
    <row r="740" ht="15.75" customHeight="1">
      <c r="I740" s="179"/>
      <c r="J740" s="179"/>
      <c r="K740" s="179"/>
      <c r="L740" s="179"/>
      <c r="M740" s="179"/>
      <c r="N740" s="179"/>
      <c r="O740" s="179"/>
    </row>
    <row r="741" ht="15.75" customHeight="1">
      <c r="I741" s="179"/>
      <c r="J741" s="179"/>
      <c r="K741" s="179"/>
      <c r="L741" s="179"/>
      <c r="M741" s="179"/>
      <c r="N741" s="179"/>
      <c r="O741" s="179"/>
    </row>
    <row r="742" ht="15.75" customHeight="1">
      <c r="I742" s="179"/>
      <c r="J742" s="179"/>
      <c r="K742" s="179"/>
      <c r="L742" s="179"/>
      <c r="M742" s="179"/>
      <c r="N742" s="179"/>
      <c r="O742" s="179"/>
    </row>
    <row r="743" ht="15.75" customHeight="1">
      <c r="I743" s="179"/>
      <c r="J743" s="179"/>
      <c r="K743" s="179"/>
      <c r="L743" s="179"/>
      <c r="M743" s="179"/>
      <c r="N743" s="179"/>
      <c r="O743" s="179"/>
    </row>
    <row r="744" ht="15.75" customHeight="1">
      <c r="I744" s="179"/>
      <c r="J744" s="179"/>
      <c r="K744" s="179"/>
      <c r="L744" s="179"/>
      <c r="M744" s="179"/>
      <c r="N744" s="179"/>
      <c r="O744" s="179"/>
    </row>
    <row r="745" ht="15.75" customHeight="1">
      <c r="I745" s="179"/>
      <c r="J745" s="179"/>
      <c r="K745" s="179"/>
      <c r="L745" s="179"/>
      <c r="M745" s="179"/>
      <c r="N745" s="179"/>
      <c r="O745" s="179"/>
    </row>
    <row r="746" ht="15.75" customHeight="1">
      <c r="I746" s="179"/>
      <c r="J746" s="179"/>
      <c r="K746" s="179"/>
      <c r="L746" s="179"/>
      <c r="M746" s="179"/>
      <c r="N746" s="179"/>
      <c r="O746" s="179"/>
    </row>
    <row r="747" ht="15.75" customHeight="1">
      <c r="I747" s="179"/>
      <c r="J747" s="179"/>
      <c r="K747" s="179"/>
      <c r="L747" s="179"/>
      <c r="M747" s="179"/>
      <c r="N747" s="179"/>
      <c r="O747" s="179"/>
    </row>
    <row r="748" ht="15.75" customHeight="1">
      <c r="I748" s="179"/>
      <c r="J748" s="179"/>
      <c r="K748" s="179"/>
      <c r="L748" s="179"/>
      <c r="M748" s="179"/>
      <c r="N748" s="179"/>
      <c r="O748" s="179"/>
    </row>
    <row r="749" ht="15.75" customHeight="1">
      <c r="I749" s="179"/>
      <c r="J749" s="179"/>
      <c r="K749" s="179"/>
      <c r="L749" s="179"/>
      <c r="M749" s="179"/>
      <c r="N749" s="179"/>
      <c r="O749" s="179"/>
    </row>
    <row r="750" ht="15.75" customHeight="1">
      <c r="I750" s="179"/>
      <c r="J750" s="179"/>
      <c r="K750" s="179"/>
      <c r="L750" s="179"/>
      <c r="M750" s="179"/>
      <c r="N750" s="179"/>
      <c r="O750" s="179"/>
    </row>
    <row r="751" ht="15.75" customHeight="1">
      <c r="I751" s="179"/>
      <c r="J751" s="179"/>
      <c r="K751" s="179"/>
      <c r="L751" s="179"/>
      <c r="M751" s="179"/>
      <c r="N751" s="179"/>
      <c r="O751" s="179"/>
    </row>
    <row r="752" ht="15.75" customHeight="1">
      <c r="I752" s="179"/>
      <c r="J752" s="179"/>
      <c r="K752" s="179"/>
      <c r="L752" s="179"/>
      <c r="M752" s="179"/>
      <c r="N752" s="179"/>
      <c r="O752" s="179"/>
    </row>
    <row r="753" ht="15.75" customHeight="1">
      <c r="I753" s="179"/>
      <c r="J753" s="179"/>
      <c r="K753" s="179"/>
      <c r="L753" s="179"/>
      <c r="M753" s="179"/>
      <c r="N753" s="179"/>
      <c r="O753" s="179"/>
    </row>
    <row r="754" ht="15.75" customHeight="1">
      <c r="I754" s="179"/>
      <c r="J754" s="179"/>
      <c r="K754" s="179"/>
      <c r="L754" s="179"/>
      <c r="M754" s="179"/>
      <c r="N754" s="179"/>
      <c r="O754" s="179"/>
    </row>
    <row r="755" ht="15.75" customHeight="1">
      <c r="I755" s="179"/>
      <c r="J755" s="179"/>
      <c r="K755" s="179"/>
      <c r="L755" s="179"/>
      <c r="M755" s="179"/>
      <c r="N755" s="179"/>
      <c r="O755" s="179"/>
    </row>
    <row r="756" ht="15.75" customHeight="1">
      <c r="I756" s="179"/>
      <c r="J756" s="179"/>
      <c r="K756" s="179"/>
      <c r="L756" s="179"/>
      <c r="M756" s="179"/>
      <c r="N756" s="179"/>
      <c r="O756" s="179"/>
    </row>
    <row r="757" ht="15.75" customHeight="1">
      <c r="I757" s="179"/>
      <c r="J757" s="179"/>
      <c r="K757" s="179"/>
      <c r="L757" s="179"/>
      <c r="M757" s="179"/>
      <c r="N757" s="179"/>
      <c r="O757" s="179"/>
    </row>
    <row r="758" ht="15.75" customHeight="1">
      <c r="I758" s="179"/>
      <c r="J758" s="179"/>
      <c r="K758" s="179"/>
      <c r="L758" s="179"/>
      <c r="M758" s="179"/>
      <c r="N758" s="179"/>
      <c r="O758" s="179"/>
    </row>
    <row r="759" ht="15.75" customHeight="1">
      <c r="I759" s="179"/>
      <c r="J759" s="179"/>
      <c r="K759" s="179"/>
      <c r="L759" s="179"/>
      <c r="M759" s="179"/>
      <c r="N759" s="179"/>
      <c r="O759" s="179"/>
    </row>
    <row r="760" ht="15.75" customHeight="1">
      <c r="I760" s="179"/>
      <c r="J760" s="179"/>
      <c r="K760" s="179"/>
      <c r="L760" s="179"/>
      <c r="M760" s="179"/>
      <c r="N760" s="179"/>
      <c r="O760" s="179"/>
    </row>
    <row r="761" ht="15.75" customHeight="1">
      <c r="I761" s="179"/>
      <c r="J761" s="179"/>
      <c r="K761" s="179"/>
      <c r="L761" s="179"/>
      <c r="M761" s="179"/>
      <c r="N761" s="179"/>
      <c r="O761" s="179"/>
    </row>
    <row r="762" ht="15.75" customHeight="1">
      <c r="I762" s="179"/>
      <c r="J762" s="179"/>
      <c r="K762" s="179"/>
      <c r="L762" s="179"/>
      <c r="M762" s="179"/>
      <c r="N762" s="179"/>
      <c r="O762" s="179"/>
    </row>
    <row r="763" ht="15.75" customHeight="1">
      <c r="I763" s="179"/>
      <c r="J763" s="179"/>
      <c r="K763" s="179"/>
      <c r="L763" s="179"/>
      <c r="M763" s="179"/>
      <c r="N763" s="179"/>
      <c r="O763" s="179"/>
    </row>
    <row r="764" ht="15.75" customHeight="1">
      <c r="I764" s="179"/>
      <c r="J764" s="179"/>
      <c r="K764" s="179"/>
      <c r="L764" s="179"/>
      <c r="M764" s="179"/>
      <c r="N764" s="179"/>
      <c r="O764" s="179"/>
    </row>
    <row r="765" ht="15.75" customHeight="1">
      <c r="I765" s="179"/>
      <c r="J765" s="179"/>
      <c r="K765" s="179"/>
      <c r="L765" s="179"/>
      <c r="M765" s="179"/>
      <c r="N765" s="179"/>
      <c r="O765" s="179"/>
    </row>
    <row r="766" ht="15.75" customHeight="1">
      <c r="I766" s="179"/>
      <c r="J766" s="179"/>
      <c r="K766" s="179"/>
      <c r="L766" s="179"/>
      <c r="M766" s="179"/>
      <c r="N766" s="179"/>
      <c r="O766" s="179"/>
    </row>
    <row r="767" ht="15.75" customHeight="1">
      <c r="I767" s="179"/>
      <c r="J767" s="179"/>
      <c r="K767" s="179"/>
      <c r="L767" s="179"/>
      <c r="M767" s="179"/>
      <c r="N767" s="179"/>
      <c r="O767" s="179"/>
    </row>
    <row r="768" ht="15.75" customHeight="1">
      <c r="I768" s="179"/>
      <c r="J768" s="179"/>
      <c r="K768" s="179"/>
      <c r="L768" s="179"/>
      <c r="M768" s="179"/>
      <c r="N768" s="179"/>
      <c r="O768" s="179"/>
    </row>
    <row r="769" ht="15.75" customHeight="1">
      <c r="I769" s="179"/>
      <c r="J769" s="179"/>
      <c r="K769" s="179"/>
      <c r="L769" s="179"/>
      <c r="M769" s="179"/>
      <c r="N769" s="179"/>
      <c r="O769" s="179"/>
    </row>
    <row r="770" ht="15.75" customHeight="1">
      <c r="I770" s="179"/>
      <c r="J770" s="179"/>
      <c r="K770" s="179"/>
      <c r="L770" s="179"/>
      <c r="M770" s="179"/>
      <c r="N770" s="179"/>
      <c r="O770" s="179"/>
    </row>
    <row r="771" ht="15.75" customHeight="1">
      <c r="I771" s="179"/>
      <c r="J771" s="179"/>
      <c r="K771" s="179"/>
      <c r="L771" s="179"/>
      <c r="M771" s="179"/>
      <c r="N771" s="179"/>
      <c r="O771" s="179"/>
    </row>
    <row r="772" ht="15.75" customHeight="1">
      <c r="I772" s="179"/>
      <c r="J772" s="179"/>
      <c r="K772" s="179"/>
      <c r="L772" s="179"/>
      <c r="M772" s="179"/>
      <c r="N772" s="179"/>
      <c r="O772" s="179"/>
    </row>
    <row r="773" ht="15.75" customHeight="1">
      <c r="I773" s="179"/>
      <c r="J773" s="179"/>
      <c r="K773" s="179"/>
      <c r="L773" s="179"/>
      <c r="M773" s="179"/>
      <c r="N773" s="179"/>
      <c r="O773" s="179"/>
    </row>
    <row r="774" ht="15.75" customHeight="1">
      <c r="I774" s="179"/>
      <c r="J774" s="179"/>
      <c r="K774" s="179"/>
      <c r="L774" s="179"/>
      <c r="M774" s="179"/>
      <c r="N774" s="179"/>
      <c r="O774" s="179"/>
    </row>
    <row r="775" ht="15.75" customHeight="1">
      <c r="I775" s="179"/>
      <c r="J775" s="179"/>
      <c r="K775" s="179"/>
      <c r="L775" s="179"/>
      <c r="M775" s="179"/>
      <c r="N775" s="179"/>
      <c r="O775" s="179"/>
    </row>
    <row r="776" ht="15.75" customHeight="1">
      <c r="I776" s="179"/>
      <c r="J776" s="179"/>
      <c r="K776" s="179"/>
      <c r="L776" s="179"/>
      <c r="M776" s="179"/>
      <c r="N776" s="179"/>
      <c r="O776" s="179"/>
    </row>
    <row r="777" ht="15.75" customHeight="1">
      <c r="I777" s="179"/>
      <c r="J777" s="179"/>
      <c r="K777" s="179"/>
      <c r="L777" s="179"/>
      <c r="M777" s="179"/>
      <c r="N777" s="179"/>
      <c r="O777" s="179"/>
    </row>
    <row r="778" ht="15.75" customHeight="1">
      <c r="I778" s="179"/>
      <c r="J778" s="179"/>
      <c r="K778" s="179"/>
      <c r="L778" s="179"/>
      <c r="M778" s="179"/>
      <c r="N778" s="179"/>
      <c r="O778" s="179"/>
    </row>
    <row r="779" ht="15.75" customHeight="1">
      <c r="I779" s="179"/>
      <c r="J779" s="179"/>
      <c r="K779" s="179"/>
      <c r="L779" s="179"/>
      <c r="M779" s="179"/>
      <c r="N779" s="179"/>
      <c r="O779" s="179"/>
    </row>
    <row r="780" ht="15.75" customHeight="1">
      <c r="I780" s="179"/>
      <c r="J780" s="179"/>
      <c r="K780" s="179"/>
      <c r="L780" s="179"/>
      <c r="M780" s="179"/>
      <c r="N780" s="179"/>
      <c r="O780" s="179"/>
    </row>
    <row r="781" ht="15.75" customHeight="1">
      <c r="I781" s="179"/>
      <c r="J781" s="179"/>
      <c r="K781" s="179"/>
      <c r="L781" s="179"/>
      <c r="M781" s="179"/>
      <c r="N781" s="179"/>
      <c r="O781" s="179"/>
    </row>
    <row r="782" ht="15.75" customHeight="1">
      <c r="I782" s="179"/>
      <c r="J782" s="179"/>
      <c r="K782" s="179"/>
      <c r="L782" s="179"/>
      <c r="M782" s="179"/>
      <c r="N782" s="179"/>
      <c r="O782" s="179"/>
    </row>
    <row r="783" ht="15.75" customHeight="1">
      <c r="I783" s="179"/>
      <c r="J783" s="179"/>
      <c r="K783" s="179"/>
      <c r="L783" s="179"/>
      <c r="M783" s="179"/>
      <c r="N783" s="179"/>
      <c r="O783" s="179"/>
    </row>
    <row r="784" ht="15.75" customHeight="1">
      <c r="I784" s="179"/>
      <c r="J784" s="179"/>
      <c r="K784" s="179"/>
      <c r="L784" s="179"/>
      <c r="M784" s="179"/>
      <c r="N784" s="179"/>
      <c r="O784" s="179"/>
    </row>
    <row r="785" ht="15.75" customHeight="1">
      <c r="I785" s="179"/>
      <c r="J785" s="179"/>
      <c r="K785" s="179"/>
      <c r="L785" s="179"/>
      <c r="M785" s="179"/>
      <c r="N785" s="179"/>
      <c r="O785" s="179"/>
    </row>
    <row r="786" ht="15.75" customHeight="1">
      <c r="I786" s="179"/>
      <c r="J786" s="179"/>
      <c r="K786" s="179"/>
      <c r="L786" s="179"/>
      <c r="M786" s="179"/>
      <c r="N786" s="179"/>
      <c r="O786" s="179"/>
    </row>
    <row r="787" ht="15.75" customHeight="1">
      <c r="I787" s="179"/>
      <c r="J787" s="179"/>
      <c r="K787" s="179"/>
      <c r="L787" s="179"/>
      <c r="M787" s="179"/>
      <c r="N787" s="179"/>
      <c r="O787" s="179"/>
    </row>
    <row r="788" ht="15.75" customHeight="1">
      <c r="I788" s="179"/>
      <c r="J788" s="179"/>
      <c r="K788" s="179"/>
      <c r="L788" s="179"/>
      <c r="M788" s="179"/>
      <c r="N788" s="179"/>
      <c r="O788" s="179"/>
    </row>
    <row r="789" ht="15.75" customHeight="1">
      <c r="I789" s="179"/>
      <c r="J789" s="179"/>
      <c r="K789" s="179"/>
      <c r="L789" s="179"/>
      <c r="M789" s="179"/>
      <c r="N789" s="179"/>
      <c r="O789" s="179"/>
    </row>
    <row r="790" ht="15.75" customHeight="1">
      <c r="I790" s="179"/>
      <c r="J790" s="179"/>
      <c r="K790" s="179"/>
      <c r="L790" s="179"/>
      <c r="M790" s="179"/>
      <c r="N790" s="179"/>
      <c r="O790" s="179"/>
    </row>
    <row r="791" ht="15.75" customHeight="1">
      <c r="I791" s="179"/>
      <c r="J791" s="179"/>
      <c r="K791" s="179"/>
      <c r="L791" s="179"/>
      <c r="M791" s="179"/>
      <c r="N791" s="179"/>
      <c r="O791" s="179"/>
    </row>
    <row r="792" ht="15.75" customHeight="1">
      <c r="I792" s="179"/>
      <c r="J792" s="179"/>
      <c r="K792" s="179"/>
      <c r="L792" s="179"/>
      <c r="M792" s="179"/>
      <c r="N792" s="179"/>
      <c r="O792" s="179"/>
    </row>
    <row r="793" ht="15.75" customHeight="1">
      <c r="I793" s="179"/>
      <c r="J793" s="179"/>
      <c r="K793" s="179"/>
      <c r="L793" s="179"/>
      <c r="M793" s="179"/>
      <c r="N793" s="179"/>
      <c r="O793" s="179"/>
    </row>
    <row r="794" ht="15.75" customHeight="1">
      <c r="I794" s="179"/>
      <c r="J794" s="179"/>
      <c r="K794" s="179"/>
      <c r="L794" s="179"/>
      <c r="M794" s="179"/>
      <c r="N794" s="179"/>
      <c r="O794" s="179"/>
    </row>
    <row r="795" ht="15.75" customHeight="1">
      <c r="I795" s="179"/>
      <c r="J795" s="179"/>
      <c r="K795" s="179"/>
      <c r="L795" s="179"/>
      <c r="M795" s="179"/>
      <c r="N795" s="179"/>
      <c r="O795" s="179"/>
    </row>
    <row r="796" ht="15.75" customHeight="1">
      <c r="I796" s="179"/>
      <c r="J796" s="179"/>
      <c r="K796" s="179"/>
      <c r="L796" s="179"/>
      <c r="M796" s="179"/>
      <c r="N796" s="179"/>
      <c r="O796" s="179"/>
    </row>
    <row r="797" ht="15.75" customHeight="1">
      <c r="I797" s="179"/>
      <c r="J797" s="179"/>
      <c r="K797" s="179"/>
      <c r="L797" s="179"/>
      <c r="M797" s="179"/>
      <c r="N797" s="179"/>
      <c r="O797" s="179"/>
    </row>
    <row r="798" ht="15.75" customHeight="1">
      <c r="I798" s="179"/>
      <c r="J798" s="179"/>
      <c r="K798" s="179"/>
      <c r="L798" s="179"/>
      <c r="M798" s="179"/>
      <c r="N798" s="179"/>
      <c r="O798" s="179"/>
    </row>
    <row r="799" ht="15.75" customHeight="1">
      <c r="I799" s="179"/>
      <c r="J799" s="179"/>
      <c r="K799" s="179"/>
      <c r="L799" s="179"/>
      <c r="M799" s="179"/>
      <c r="N799" s="179"/>
      <c r="O799" s="179"/>
    </row>
    <row r="800" ht="15.75" customHeight="1">
      <c r="I800" s="179"/>
      <c r="J800" s="179"/>
      <c r="K800" s="179"/>
      <c r="L800" s="179"/>
      <c r="M800" s="179"/>
      <c r="N800" s="179"/>
      <c r="O800" s="179"/>
    </row>
    <row r="801" ht="15.75" customHeight="1">
      <c r="I801" s="179"/>
      <c r="J801" s="179"/>
      <c r="K801" s="179"/>
      <c r="L801" s="179"/>
      <c r="M801" s="179"/>
      <c r="N801" s="179"/>
      <c r="O801" s="179"/>
    </row>
    <row r="802" ht="15.75" customHeight="1">
      <c r="I802" s="179"/>
      <c r="J802" s="179"/>
      <c r="K802" s="179"/>
      <c r="L802" s="179"/>
      <c r="M802" s="179"/>
      <c r="N802" s="179"/>
      <c r="O802" s="179"/>
    </row>
    <row r="803" ht="15.75" customHeight="1">
      <c r="I803" s="179"/>
      <c r="J803" s="179"/>
      <c r="K803" s="179"/>
      <c r="L803" s="179"/>
      <c r="M803" s="179"/>
      <c r="N803" s="179"/>
      <c r="O803" s="179"/>
    </row>
    <row r="804" ht="15.75" customHeight="1">
      <c r="I804" s="179"/>
      <c r="J804" s="179"/>
      <c r="K804" s="179"/>
      <c r="L804" s="179"/>
      <c r="M804" s="179"/>
      <c r="N804" s="179"/>
      <c r="O804" s="179"/>
    </row>
    <row r="805" ht="15.75" customHeight="1">
      <c r="I805" s="179"/>
      <c r="J805" s="179"/>
      <c r="K805" s="179"/>
      <c r="L805" s="179"/>
      <c r="M805" s="179"/>
      <c r="N805" s="179"/>
      <c r="O805" s="179"/>
    </row>
    <row r="806" ht="15.75" customHeight="1">
      <c r="I806" s="179"/>
      <c r="J806" s="179"/>
      <c r="K806" s="179"/>
      <c r="L806" s="179"/>
      <c r="M806" s="179"/>
      <c r="N806" s="179"/>
      <c r="O806" s="179"/>
    </row>
    <row r="807" ht="15.75" customHeight="1">
      <c r="I807" s="179"/>
      <c r="J807" s="179"/>
      <c r="K807" s="179"/>
      <c r="L807" s="179"/>
      <c r="M807" s="179"/>
      <c r="N807" s="179"/>
      <c r="O807" s="179"/>
    </row>
    <row r="808" ht="15.75" customHeight="1">
      <c r="I808" s="179"/>
      <c r="J808" s="179"/>
      <c r="K808" s="179"/>
      <c r="L808" s="179"/>
      <c r="M808" s="179"/>
      <c r="N808" s="179"/>
      <c r="O808" s="179"/>
    </row>
    <row r="809" ht="15.75" customHeight="1">
      <c r="I809" s="179"/>
      <c r="J809" s="179"/>
      <c r="K809" s="179"/>
      <c r="L809" s="179"/>
      <c r="M809" s="179"/>
      <c r="N809" s="179"/>
      <c r="O809" s="179"/>
    </row>
    <row r="810" ht="15.75" customHeight="1">
      <c r="I810" s="179"/>
      <c r="J810" s="179"/>
      <c r="K810" s="179"/>
      <c r="L810" s="179"/>
      <c r="M810" s="179"/>
      <c r="N810" s="179"/>
      <c r="O810" s="179"/>
    </row>
    <row r="811" ht="15.75" customHeight="1">
      <c r="I811" s="179"/>
      <c r="J811" s="179"/>
      <c r="K811" s="179"/>
      <c r="L811" s="179"/>
      <c r="M811" s="179"/>
      <c r="N811" s="179"/>
      <c r="O811" s="179"/>
    </row>
    <row r="812" ht="15.75" customHeight="1">
      <c r="I812" s="179"/>
      <c r="J812" s="179"/>
      <c r="K812" s="179"/>
      <c r="L812" s="179"/>
      <c r="M812" s="179"/>
      <c r="N812" s="179"/>
      <c r="O812" s="179"/>
    </row>
    <row r="813" ht="15.75" customHeight="1">
      <c r="I813" s="179"/>
      <c r="J813" s="179"/>
      <c r="K813" s="179"/>
      <c r="L813" s="179"/>
      <c r="M813" s="179"/>
      <c r="N813" s="179"/>
      <c r="O813" s="179"/>
    </row>
    <row r="814" ht="15.75" customHeight="1">
      <c r="I814" s="179"/>
      <c r="J814" s="179"/>
      <c r="K814" s="179"/>
      <c r="L814" s="179"/>
      <c r="M814" s="179"/>
      <c r="N814" s="179"/>
      <c r="O814" s="179"/>
    </row>
    <row r="815" ht="15.75" customHeight="1">
      <c r="I815" s="179"/>
      <c r="J815" s="179"/>
      <c r="K815" s="179"/>
      <c r="L815" s="179"/>
      <c r="M815" s="179"/>
      <c r="N815" s="179"/>
      <c r="O815" s="179"/>
    </row>
    <row r="816" ht="15.75" customHeight="1">
      <c r="I816" s="179"/>
      <c r="J816" s="179"/>
      <c r="K816" s="179"/>
      <c r="L816" s="179"/>
      <c r="M816" s="179"/>
      <c r="N816" s="179"/>
      <c r="O816" s="179"/>
    </row>
    <row r="817" ht="15.75" customHeight="1">
      <c r="I817" s="179"/>
      <c r="J817" s="179"/>
      <c r="K817" s="179"/>
      <c r="L817" s="179"/>
      <c r="M817" s="179"/>
      <c r="N817" s="179"/>
      <c r="O817" s="179"/>
    </row>
    <row r="818" ht="15.75" customHeight="1">
      <c r="I818" s="179"/>
      <c r="J818" s="179"/>
      <c r="K818" s="179"/>
      <c r="L818" s="179"/>
      <c r="M818" s="179"/>
      <c r="N818" s="179"/>
      <c r="O818" s="179"/>
    </row>
    <row r="819" ht="15.75" customHeight="1">
      <c r="I819" s="179"/>
      <c r="J819" s="179"/>
      <c r="K819" s="179"/>
      <c r="L819" s="179"/>
      <c r="M819" s="179"/>
      <c r="N819" s="179"/>
      <c r="O819" s="179"/>
    </row>
    <row r="820" ht="15.75" customHeight="1">
      <c r="I820" s="179"/>
      <c r="J820" s="179"/>
      <c r="K820" s="179"/>
      <c r="L820" s="179"/>
      <c r="M820" s="179"/>
      <c r="N820" s="179"/>
      <c r="O820" s="179"/>
    </row>
    <row r="821" ht="15.75" customHeight="1">
      <c r="I821" s="179"/>
      <c r="J821" s="179"/>
      <c r="K821" s="179"/>
      <c r="L821" s="179"/>
      <c r="M821" s="179"/>
      <c r="N821" s="179"/>
      <c r="O821" s="179"/>
    </row>
    <row r="822" ht="15.75" customHeight="1">
      <c r="I822" s="179"/>
      <c r="J822" s="179"/>
      <c r="K822" s="179"/>
      <c r="L822" s="179"/>
      <c r="M822" s="179"/>
      <c r="N822" s="179"/>
      <c r="O822" s="179"/>
    </row>
    <row r="823" ht="15.75" customHeight="1">
      <c r="I823" s="179"/>
      <c r="J823" s="179"/>
      <c r="K823" s="179"/>
      <c r="L823" s="179"/>
      <c r="M823" s="179"/>
      <c r="N823" s="179"/>
      <c r="O823" s="179"/>
    </row>
    <row r="824" ht="15.75" customHeight="1">
      <c r="I824" s="179"/>
      <c r="J824" s="179"/>
      <c r="K824" s="179"/>
      <c r="L824" s="179"/>
      <c r="M824" s="179"/>
      <c r="N824" s="179"/>
      <c r="O824" s="179"/>
    </row>
    <row r="825" ht="15.75" customHeight="1">
      <c r="I825" s="179"/>
      <c r="J825" s="179"/>
      <c r="K825" s="179"/>
      <c r="L825" s="179"/>
      <c r="M825" s="179"/>
      <c r="N825" s="179"/>
      <c r="O825" s="179"/>
    </row>
    <row r="826" ht="15.75" customHeight="1">
      <c r="I826" s="179"/>
      <c r="J826" s="179"/>
      <c r="K826" s="179"/>
      <c r="L826" s="179"/>
      <c r="M826" s="179"/>
      <c r="N826" s="179"/>
      <c r="O826" s="179"/>
    </row>
    <row r="827" ht="15.75" customHeight="1">
      <c r="I827" s="179"/>
      <c r="J827" s="179"/>
      <c r="K827" s="179"/>
      <c r="L827" s="179"/>
      <c r="M827" s="179"/>
      <c r="N827" s="179"/>
      <c r="O827" s="179"/>
    </row>
    <row r="828" ht="15.75" customHeight="1">
      <c r="I828" s="179"/>
      <c r="J828" s="179"/>
      <c r="K828" s="179"/>
      <c r="L828" s="179"/>
      <c r="M828" s="179"/>
      <c r="N828" s="179"/>
      <c r="O828" s="179"/>
    </row>
    <row r="829" ht="15.75" customHeight="1">
      <c r="I829" s="179"/>
      <c r="J829" s="179"/>
      <c r="K829" s="179"/>
      <c r="L829" s="179"/>
      <c r="M829" s="179"/>
      <c r="N829" s="179"/>
      <c r="O829" s="179"/>
    </row>
    <row r="830" ht="15.75" customHeight="1">
      <c r="I830" s="179"/>
      <c r="J830" s="179"/>
      <c r="K830" s="179"/>
      <c r="L830" s="179"/>
      <c r="M830" s="179"/>
      <c r="N830" s="179"/>
      <c r="O830" s="179"/>
    </row>
    <row r="831" ht="15.75" customHeight="1">
      <c r="I831" s="179"/>
      <c r="J831" s="179"/>
      <c r="K831" s="179"/>
      <c r="L831" s="179"/>
      <c r="M831" s="179"/>
      <c r="N831" s="179"/>
      <c r="O831" s="179"/>
    </row>
    <row r="832" ht="15.75" customHeight="1">
      <c r="I832" s="179"/>
      <c r="J832" s="179"/>
      <c r="K832" s="179"/>
      <c r="L832" s="179"/>
      <c r="M832" s="179"/>
      <c r="N832" s="179"/>
      <c r="O832" s="179"/>
    </row>
    <row r="833" ht="15.75" customHeight="1">
      <c r="I833" s="179"/>
      <c r="J833" s="179"/>
      <c r="K833" s="179"/>
      <c r="L833" s="179"/>
      <c r="M833" s="179"/>
      <c r="N833" s="179"/>
      <c r="O833" s="179"/>
    </row>
    <row r="834" ht="15.75" customHeight="1">
      <c r="I834" s="179"/>
      <c r="J834" s="179"/>
      <c r="K834" s="179"/>
      <c r="L834" s="179"/>
      <c r="M834" s="179"/>
      <c r="N834" s="179"/>
      <c r="O834" s="179"/>
    </row>
    <row r="835" ht="15.75" customHeight="1">
      <c r="I835" s="179"/>
      <c r="J835" s="179"/>
      <c r="K835" s="179"/>
      <c r="L835" s="179"/>
      <c r="M835" s="179"/>
      <c r="N835" s="179"/>
      <c r="O835" s="179"/>
    </row>
    <row r="836" ht="15.75" customHeight="1">
      <c r="I836" s="179"/>
      <c r="J836" s="179"/>
      <c r="K836" s="179"/>
      <c r="L836" s="179"/>
      <c r="M836" s="179"/>
      <c r="N836" s="179"/>
      <c r="O836" s="179"/>
    </row>
    <row r="837" ht="15.75" customHeight="1">
      <c r="I837" s="179"/>
      <c r="J837" s="179"/>
      <c r="K837" s="179"/>
      <c r="L837" s="179"/>
      <c r="M837" s="179"/>
      <c r="N837" s="179"/>
      <c r="O837" s="179"/>
    </row>
    <row r="838" ht="15.75" customHeight="1">
      <c r="I838" s="179"/>
      <c r="J838" s="179"/>
      <c r="K838" s="179"/>
      <c r="L838" s="179"/>
      <c r="M838" s="179"/>
      <c r="N838" s="179"/>
      <c r="O838" s="179"/>
    </row>
    <row r="839" ht="15.75" customHeight="1">
      <c r="I839" s="179"/>
      <c r="J839" s="179"/>
      <c r="K839" s="179"/>
      <c r="L839" s="179"/>
      <c r="M839" s="179"/>
      <c r="N839" s="179"/>
      <c r="O839" s="179"/>
    </row>
    <row r="840" ht="15.75" customHeight="1">
      <c r="I840" s="179"/>
      <c r="J840" s="179"/>
      <c r="K840" s="179"/>
      <c r="L840" s="179"/>
      <c r="M840" s="179"/>
      <c r="N840" s="179"/>
      <c r="O840" s="179"/>
    </row>
    <row r="841" ht="15.75" customHeight="1">
      <c r="I841" s="179"/>
      <c r="J841" s="179"/>
      <c r="K841" s="179"/>
      <c r="L841" s="179"/>
      <c r="M841" s="179"/>
      <c r="N841" s="179"/>
      <c r="O841" s="179"/>
    </row>
    <row r="842" ht="15.75" customHeight="1">
      <c r="I842" s="179"/>
      <c r="J842" s="179"/>
      <c r="K842" s="179"/>
      <c r="L842" s="179"/>
      <c r="M842" s="179"/>
      <c r="N842" s="179"/>
      <c r="O842" s="179"/>
    </row>
    <row r="843" ht="15.75" customHeight="1">
      <c r="I843" s="179"/>
      <c r="J843" s="179"/>
      <c r="K843" s="179"/>
      <c r="L843" s="179"/>
      <c r="M843" s="179"/>
      <c r="N843" s="179"/>
      <c r="O843" s="179"/>
    </row>
    <row r="844" ht="15.75" customHeight="1">
      <c r="I844" s="179"/>
      <c r="J844" s="179"/>
      <c r="K844" s="179"/>
      <c r="L844" s="179"/>
      <c r="M844" s="179"/>
      <c r="N844" s="179"/>
      <c r="O844" s="179"/>
    </row>
    <row r="845" ht="15.75" customHeight="1">
      <c r="I845" s="179"/>
      <c r="J845" s="179"/>
      <c r="K845" s="179"/>
      <c r="L845" s="179"/>
      <c r="M845" s="179"/>
      <c r="N845" s="179"/>
      <c r="O845" s="179"/>
    </row>
    <row r="846" ht="15.75" customHeight="1">
      <c r="I846" s="179"/>
      <c r="J846" s="179"/>
      <c r="K846" s="179"/>
      <c r="L846" s="179"/>
      <c r="M846" s="179"/>
      <c r="N846" s="179"/>
      <c r="O846" s="179"/>
    </row>
    <row r="847" ht="15.75" customHeight="1">
      <c r="I847" s="179"/>
      <c r="J847" s="179"/>
      <c r="K847" s="179"/>
      <c r="L847" s="179"/>
      <c r="M847" s="179"/>
      <c r="N847" s="179"/>
      <c r="O847" s="179"/>
    </row>
    <row r="848" ht="15.75" customHeight="1">
      <c r="I848" s="179"/>
      <c r="J848" s="179"/>
      <c r="K848" s="179"/>
      <c r="L848" s="179"/>
      <c r="M848" s="179"/>
      <c r="N848" s="179"/>
      <c r="O848" s="179"/>
    </row>
    <row r="849" ht="15.75" customHeight="1">
      <c r="I849" s="179"/>
      <c r="J849" s="179"/>
      <c r="K849" s="179"/>
      <c r="L849" s="179"/>
      <c r="M849" s="179"/>
      <c r="N849" s="179"/>
      <c r="O849" s="179"/>
    </row>
    <row r="850" ht="15.75" customHeight="1">
      <c r="I850" s="179"/>
      <c r="J850" s="179"/>
      <c r="K850" s="179"/>
      <c r="L850" s="179"/>
      <c r="M850" s="179"/>
      <c r="N850" s="179"/>
      <c r="O850" s="179"/>
    </row>
    <row r="851" ht="15.75" customHeight="1">
      <c r="I851" s="179"/>
      <c r="J851" s="179"/>
      <c r="K851" s="179"/>
      <c r="L851" s="179"/>
      <c r="M851" s="179"/>
      <c r="N851" s="179"/>
      <c r="O851" s="179"/>
    </row>
    <row r="852" ht="15.75" customHeight="1">
      <c r="I852" s="179"/>
      <c r="J852" s="179"/>
      <c r="K852" s="179"/>
      <c r="L852" s="179"/>
      <c r="M852" s="179"/>
      <c r="N852" s="179"/>
      <c r="O852" s="179"/>
    </row>
    <row r="853" ht="15.75" customHeight="1">
      <c r="I853" s="179"/>
      <c r="J853" s="179"/>
      <c r="K853" s="179"/>
      <c r="L853" s="179"/>
      <c r="M853" s="179"/>
      <c r="N853" s="179"/>
      <c r="O853" s="179"/>
    </row>
    <row r="854" ht="15.75" customHeight="1">
      <c r="I854" s="179"/>
      <c r="J854" s="179"/>
      <c r="K854" s="179"/>
      <c r="L854" s="179"/>
      <c r="M854" s="179"/>
      <c r="N854" s="179"/>
      <c r="O854" s="179"/>
    </row>
    <row r="855" ht="15.75" customHeight="1">
      <c r="I855" s="179"/>
      <c r="J855" s="179"/>
      <c r="K855" s="179"/>
      <c r="L855" s="179"/>
      <c r="M855" s="179"/>
      <c r="N855" s="179"/>
      <c r="O855" s="179"/>
    </row>
    <row r="856" ht="15.75" customHeight="1">
      <c r="I856" s="179"/>
      <c r="J856" s="179"/>
      <c r="K856" s="179"/>
      <c r="L856" s="179"/>
      <c r="M856" s="179"/>
      <c r="N856" s="179"/>
      <c r="O856" s="179"/>
    </row>
    <row r="857" ht="15.75" customHeight="1">
      <c r="I857" s="179"/>
      <c r="J857" s="179"/>
      <c r="K857" s="179"/>
      <c r="L857" s="179"/>
      <c r="M857" s="179"/>
      <c r="N857" s="179"/>
      <c r="O857" s="179"/>
    </row>
    <row r="858" ht="15.75" customHeight="1">
      <c r="I858" s="179"/>
      <c r="J858" s="179"/>
      <c r="K858" s="179"/>
      <c r="L858" s="179"/>
      <c r="M858" s="179"/>
      <c r="N858" s="179"/>
      <c r="O858" s="179"/>
    </row>
    <row r="859" ht="15.75" customHeight="1">
      <c r="I859" s="179"/>
      <c r="J859" s="179"/>
      <c r="K859" s="179"/>
      <c r="L859" s="179"/>
      <c r="M859" s="179"/>
      <c r="N859" s="179"/>
      <c r="O859" s="179"/>
    </row>
    <row r="860" ht="15.75" customHeight="1">
      <c r="I860" s="179"/>
      <c r="J860" s="179"/>
      <c r="K860" s="179"/>
      <c r="L860" s="179"/>
      <c r="M860" s="179"/>
      <c r="N860" s="179"/>
      <c r="O860" s="179"/>
    </row>
    <row r="861" ht="15.75" customHeight="1">
      <c r="I861" s="179"/>
      <c r="J861" s="179"/>
      <c r="K861" s="179"/>
      <c r="L861" s="179"/>
      <c r="M861" s="179"/>
      <c r="N861" s="179"/>
      <c r="O861" s="179"/>
    </row>
    <row r="862" ht="15.75" customHeight="1">
      <c r="I862" s="179"/>
      <c r="J862" s="179"/>
      <c r="K862" s="179"/>
      <c r="L862" s="179"/>
      <c r="M862" s="179"/>
      <c r="N862" s="179"/>
      <c r="O862" s="179"/>
    </row>
    <row r="863" ht="15.75" customHeight="1">
      <c r="I863" s="179"/>
      <c r="J863" s="179"/>
      <c r="K863" s="179"/>
      <c r="L863" s="179"/>
      <c r="M863" s="179"/>
      <c r="N863" s="179"/>
      <c r="O863" s="179"/>
    </row>
    <row r="864" ht="15.75" customHeight="1">
      <c r="I864" s="179"/>
      <c r="J864" s="179"/>
      <c r="K864" s="179"/>
      <c r="L864" s="179"/>
      <c r="M864" s="179"/>
      <c r="N864" s="179"/>
      <c r="O864" s="179"/>
    </row>
    <row r="865" ht="15.75" customHeight="1">
      <c r="I865" s="179"/>
      <c r="J865" s="179"/>
      <c r="K865" s="179"/>
      <c r="L865" s="179"/>
      <c r="M865" s="179"/>
      <c r="N865" s="179"/>
      <c r="O865" s="179"/>
    </row>
    <row r="866" ht="15.75" customHeight="1">
      <c r="I866" s="179"/>
      <c r="J866" s="179"/>
      <c r="K866" s="179"/>
      <c r="L866" s="179"/>
      <c r="M866" s="179"/>
      <c r="N866" s="179"/>
      <c r="O866" s="179"/>
    </row>
    <row r="867" ht="15.75" customHeight="1">
      <c r="I867" s="179"/>
      <c r="J867" s="179"/>
      <c r="K867" s="179"/>
      <c r="L867" s="179"/>
      <c r="M867" s="179"/>
      <c r="N867" s="179"/>
      <c r="O867" s="179"/>
    </row>
    <row r="868" ht="15.75" customHeight="1">
      <c r="I868" s="179"/>
      <c r="J868" s="179"/>
      <c r="K868" s="179"/>
      <c r="L868" s="179"/>
      <c r="M868" s="179"/>
      <c r="N868" s="179"/>
      <c r="O868" s="179"/>
    </row>
    <row r="869" ht="15.75" customHeight="1">
      <c r="I869" s="179"/>
      <c r="J869" s="179"/>
      <c r="K869" s="179"/>
      <c r="L869" s="179"/>
      <c r="M869" s="179"/>
      <c r="N869" s="179"/>
      <c r="O869" s="179"/>
    </row>
    <row r="870" ht="15.75" customHeight="1">
      <c r="I870" s="179"/>
      <c r="J870" s="179"/>
      <c r="K870" s="179"/>
      <c r="L870" s="179"/>
      <c r="M870" s="179"/>
      <c r="N870" s="179"/>
      <c r="O870" s="179"/>
    </row>
    <row r="871" ht="15.75" customHeight="1">
      <c r="I871" s="179"/>
      <c r="J871" s="179"/>
      <c r="K871" s="179"/>
      <c r="L871" s="179"/>
      <c r="M871" s="179"/>
      <c r="N871" s="179"/>
      <c r="O871" s="179"/>
    </row>
    <row r="872" ht="15.75" customHeight="1">
      <c r="I872" s="179"/>
      <c r="J872" s="179"/>
      <c r="K872" s="179"/>
      <c r="L872" s="179"/>
      <c r="M872" s="179"/>
      <c r="N872" s="179"/>
      <c r="O872" s="179"/>
    </row>
    <row r="873" ht="15.75" customHeight="1">
      <c r="I873" s="179"/>
      <c r="J873" s="179"/>
      <c r="K873" s="179"/>
      <c r="L873" s="179"/>
      <c r="M873" s="179"/>
      <c r="N873" s="179"/>
      <c r="O873" s="179"/>
    </row>
    <row r="874" ht="15.75" customHeight="1">
      <c r="I874" s="179"/>
      <c r="J874" s="179"/>
      <c r="K874" s="179"/>
      <c r="L874" s="179"/>
      <c r="M874" s="179"/>
      <c r="N874" s="179"/>
      <c r="O874" s="179"/>
    </row>
    <row r="875" ht="15.75" customHeight="1">
      <c r="I875" s="179"/>
      <c r="J875" s="179"/>
      <c r="K875" s="179"/>
      <c r="L875" s="179"/>
      <c r="M875" s="179"/>
      <c r="N875" s="179"/>
      <c r="O875" s="179"/>
    </row>
    <row r="876" ht="15.75" customHeight="1">
      <c r="I876" s="179"/>
      <c r="J876" s="179"/>
      <c r="K876" s="179"/>
      <c r="L876" s="179"/>
      <c r="M876" s="179"/>
      <c r="N876" s="179"/>
      <c r="O876" s="179"/>
    </row>
    <row r="877" ht="15.75" customHeight="1">
      <c r="I877" s="179"/>
      <c r="J877" s="179"/>
      <c r="K877" s="179"/>
      <c r="L877" s="179"/>
      <c r="M877" s="179"/>
      <c r="N877" s="179"/>
      <c r="O877" s="179"/>
    </row>
    <row r="878" ht="15.75" customHeight="1">
      <c r="I878" s="179"/>
      <c r="J878" s="179"/>
      <c r="K878" s="179"/>
      <c r="L878" s="179"/>
      <c r="M878" s="179"/>
      <c r="N878" s="179"/>
      <c r="O878" s="179"/>
    </row>
    <row r="879" ht="15.75" customHeight="1">
      <c r="I879" s="179"/>
      <c r="J879" s="179"/>
      <c r="K879" s="179"/>
      <c r="L879" s="179"/>
      <c r="M879" s="179"/>
      <c r="N879" s="179"/>
      <c r="O879" s="179"/>
    </row>
    <row r="880" ht="15.75" customHeight="1">
      <c r="I880" s="179"/>
      <c r="J880" s="179"/>
      <c r="K880" s="179"/>
      <c r="L880" s="179"/>
      <c r="M880" s="179"/>
      <c r="N880" s="179"/>
      <c r="O880" s="179"/>
    </row>
    <row r="881" ht="15.75" customHeight="1">
      <c r="I881" s="179"/>
      <c r="J881" s="179"/>
      <c r="K881" s="179"/>
      <c r="L881" s="179"/>
      <c r="M881" s="179"/>
      <c r="N881" s="179"/>
      <c r="O881" s="179"/>
    </row>
    <row r="882" ht="15.75" customHeight="1">
      <c r="I882" s="179"/>
      <c r="J882" s="179"/>
      <c r="K882" s="179"/>
      <c r="L882" s="179"/>
      <c r="M882" s="179"/>
      <c r="N882" s="179"/>
      <c r="O882" s="179"/>
    </row>
    <row r="883" ht="15.75" customHeight="1">
      <c r="I883" s="179"/>
      <c r="J883" s="179"/>
      <c r="K883" s="179"/>
      <c r="L883" s="179"/>
      <c r="M883" s="179"/>
      <c r="N883" s="179"/>
      <c r="O883" s="179"/>
    </row>
    <row r="884" ht="15.75" customHeight="1">
      <c r="I884" s="179"/>
      <c r="J884" s="179"/>
      <c r="K884" s="179"/>
      <c r="L884" s="179"/>
      <c r="M884" s="179"/>
      <c r="N884" s="179"/>
      <c r="O884" s="179"/>
    </row>
    <row r="885" ht="15.75" customHeight="1">
      <c r="I885" s="179"/>
      <c r="J885" s="179"/>
      <c r="K885" s="179"/>
      <c r="L885" s="179"/>
      <c r="M885" s="179"/>
      <c r="N885" s="179"/>
      <c r="O885" s="179"/>
    </row>
    <row r="886" ht="15.75" customHeight="1">
      <c r="I886" s="179"/>
      <c r="J886" s="179"/>
      <c r="K886" s="179"/>
      <c r="L886" s="179"/>
      <c r="M886" s="179"/>
      <c r="N886" s="179"/>
      <c r="O886" s="179"/>
    </row>
    <row r="887" ht="15.75" customHeight="1">
      <c r="I887" s="179"/>
      <c r="J887" s="179"/>
      <c r="K887" s="179"/>
      <c r="L887" s="179"/>
      <c r="M887" s="179"/>
      <c r="N887" s="179"/>
      <c r="O887" s="179"/>
    </row>
    <row r="888" ht="15.75" customHeight="1">
      <c r="I888" s="179"/>
      <c r="J888" s="179"/>
      <c r="K888" s="179"/>
      <c r="L888" s="179"/>
      <c r="M888" s="179"/>
      <c r="N888" s="179"/>
      <c r="O888" s="179"/>
    </row>
    <row r="889" ht="15.75" customHeight="1">
      <c r="I889" s="179"/>
      <c r="J889" s="179"/>
      <c r="K889" s="179"/>
      <c r="L889" s="179"/>
      <c r="M889" s="179"/>
      <c r="N889" s="179"/>
      <c r="O889" s="179"/>
    </row>
    <row r="890" ht="15.75" customHeight="1">
      <c r="I890" s="179"/>
      <c r="J890" s="179"/>
      <c r="K890" s="179"/>
      <c r="L890" s="179"/>
      <c r="M890" s="179"/>
      <c r="N890" s="179"/>
      <c r="O890" s="179"/>
    </row>
    <row r="891" ht="15.75" customHeight="1">
      <c r="I891" s="179"/>
      <c r="J891" s="179"/>
      <c r="K891" s="179"/>
      <c r="L891" s="179"/>
      <c r="M891" s="179"/>
      <c r="N891" s="179"/>
      <c r="O891" s="179"/>
    </row>
    <row r="892" ht="15.75" customHeight="1">
      <c r="I892" s="179"/>
      <c r="J892" s="179"/>
      <c r="K892" s="179"/>
      <c r="L892" s="179"/>
      <c r="M892" s="179"/>
      <c r="N892" s="179"/>
      <c r="O892" s="179"/>
    </row>
    <row r="893" ht="15.75" customHeight="1">
      <c r="I893" s="179"/>
      <c r="J893" s="179"/>
      <c r="K893" s="179"/>
      <c r="L893" s="179"/>
      <c r="M893" s="179"/>
      <c r="N893" s="179"/>
      <c r="O893" s="179"/>
    </row>
    <row r="894" ht="15.75" customHeight="1">
      <c r="I894" s="179"/>
      <c r="J894" s="179"/>
      <c r="K894" s="179"/>
      <c r="L894" s="179"/>
      <c r="M894" s="179"/>
      <c r="N894" s="179"/>
      <c r="O894" s="179"/>
    </row>
    <row r="895" ht="15.75" customHeight="1">
      <c r="I895" s="179"/>
      <c r="J895" s="179"/>
      <c r="K895" s="179"/>
      <c r="L895" s="179"/>
      <c r="M895" s="179"/>
      <c r="N895" s="179"/>
      <c r="O895" s="179"/>
    </row>
    <row r="896" ht="15.75" customHeight="1">
      <c r="I896" s="179"/>
      <c r="J896" s="179"/>
      <c r="K896" s="179"/>
      <c r="L896" s="179"/>
      <c r="M896" s="179"/>
      <c r="N896" s="179"/>
      <c r="O896" s="179"/>
    </row>
    <row r="897" ht="15.75" customHeight="1">
      <c r="I897" s="179"/>
      <c r="J897" s="179"/>
      <c r="K897" s="179"/>
      <c r="L897" s="179"/>
      <c r="M897" s="179"/>
      <c r="N897" s="179"/>
      <c r="O897" s="179"/>
    </row>
    <row r="898" ht="15.75" customHeight="1">
      <c r="I898" s="179"/>
      <c r="J898" s="179"/>
      <c r="K898" s="179"/>
      <c r="L898" s="179"/>
      <c r="M898" s="179"/>
      <c r="N898" s="179"/>
      <c r="O898" s="179"/>
    </row>
    <row r="899" ht="15.75" customHeight="1">
      <c r="I899" s="179"/>
      <c r="J899" s="179"/>
      <c r="K899" s="179"/>
      <c r="L899" s="179"/>
      <c r="M899" s="179"/>
      <c r="N899" s="179"/>
      <c r="O899" s="179"/>
    </row>
    <row r="900" ht="15.75" customHeight="1">
      <c r="I900" s="179"/>
      <c r="J900" s="179"/>
      <c r="K900" s="179"/>
      <c r="L900" s="179"/>
      <c r="M900" s="179"/>
      <c r="N900" s="179"/>
      <c r="O900" s="179"/>
    </row>
    <row r="901" ht="15.75" customHeight="1">
      <c r="I901" s="179"/>
      <c r="J901" s="179"/>
      <c r="K901" s="179"/>
      <c r="L901" s="179"/>
      <c r="M901" s="179"/>
      <c r="N901" s="179"/>
      <c r="O901" s="179"/>
    </row>
    <row r="902" ht="15.75" customHeight="1">
      <c r="I902" s="179"/>
      <c r="J902" s="179"/>
      <c r="K902" s="179"/>
      <c r="L902" s="179"/>
      <c r="M902" s="179"/>
      <c r="N902" s="179"/>
      <c r="O902" s="179"/>
    </row>
    <row r="903" ht="15.75" customHeight="1">
      <c r="I903" s="179"/>
      <c r="J903" s="179"/>
      <c r="K903" s="179"/>
      <c r="L903" s="179"/>
      <c r="M903" s="179"/>
      <c r="N903" s="179"/>
      <c r="O903" s="179"/>
    </row>
    <row r="904" ht="15.75" customHeight="1">
      <c r="I904" s="179"/>
      <c r="J904" s="179"/>
      <c r="K904" s="179"/>
      <c r="L904" s="179"/>
      <c r="M904" s="179"/>
      <c r="N904" s="179"/>
      <c r="O904" s="179"/>
    </row>
    <row r="905" ht="15.75" customHeight="1">
      <c r="I905" s="179"/>
      <c r="J905" s="179"/>
      <c r="K905" s="179"/>
      <c r="L905" s="179"/>
      <c r="M905" s="179"/>
      <c r="N905" s="179"/>
      <c r="O905" s="179"/>
    </row>
    <row r="906" ht="15.75" customHeight="1">
      <c r="I906" s="179"/>
      <c r="J906" s="179"/>
      <c r="K906" s="179"/>
      <c r="L906" s="179"/>
      <c r="M906" s="179"/>
      <c r="N906" s="179"/>
      <c r="O906" s="179"/>
    </row>
    <row r="907" ht="15.75" customHeight="1">
      <c r="I907" s="179"/>
      <c r="J907" s="179"/>
      <c r="K907" s="179"/>
      <c r="L907" s="179"/>
      <c r="M907" s="179"/>
      <c r="N907" s="179"/>
      <c r="O907" s="179"/>
    </row>
    <row r="908" ht="15.75" customHeight="1">
      <c r="I908" s="179"/>
      <c r="J908" s="179"/>
      <c r="K908" s="179"/>
      <c r="L908" s="179"/>
      <c r="M908" s="179"/>
      <c r="N908" s="179"/>
      <c r="O908" s="179"/>
    </row>
    <row r="909" ht="15.75" customHeight="1">
      <c r="I909" s="179"/>
      <c r="J909" s="179"/>
      <c r="K909" s="179"/>
      <c r="L909" s="179"/>
      <c r="M909" s="179"/>
      <c r="N909" s="179"/>
      <c r="O909" s="179"/>
    </row>
    <row r="910" ht="15.75" customHeight="1">
      <c r="I910" s="179"/>
      <c r="J910" s="179"/>
      <c r="K910" s="179"/>
      <c r="L910" s="179"/>
      <c r="M910" s="179"/>
      <c r="N910" s="179"/>
      <c r="O910" s="179"/>
    </row>
    <row r="911" ht="15.75" customHeight="1">
      <c r="I911" s="179"/>
      <c r="J911" s="179"/>
      <c r="K911" s="179"/>
      <c r="L911" s="179"/>
      <c r="M911" s="179"/>
      <c r="N911" s="179"/>
      <c r="O911" s="179"/>
    </row>
    <row r="912" ht="15.75" customHeight="1">
      <c r="I912" s="179"/>
      <c r="J912" s="179"/>
      <c r="K912" s="179"/>
      <c r="L912" s="179"/>
      <c r="M912" s="179"/>
      <c r="N912" s="179"/>
      <c r="O912" s="179"/>
    </row>
    <row r="913" ht="15.75" customHeight="1">
      <c r="I913" s="179"/>
      <c r="J913" s="179"/>
      <c r="K913" s="179"/>
      <c r="L913" s="179"/>
      <c r="M913" s="179"/>
      <c r="N913" s="179"/>
      <c r="O913" s="179"/>
    </row>
    <row r="914" ht="15.75" customHeight="1">
      <c r="I914" s="179"/>
      <c r="J914" s="179"/>
      <c r="K914" s="179"/>
      <c r="L914" s="179"/>
      <c r="M914" s="179"/>
      <c r="N914" s="179"/>
      <c r="O914" s="179"/>
    </row>
    <row r="915" ht="15.75" customHeight="1">
      <c r="I915" s="179"/>
      <c r="J915" s="179"/>
      <c r="K915" s="179"/>
      <c r="L915" s="179"/>
      <c r="M915" s="179"/>
      <c r="N915" s="179"/>
      <c r="O915" s="179"/>
    </row>
    <row r="916" ht="15.75" customHeight="1">
      <c r="I916" s="179"/>
      <c r="J916" s="179"/>
      <c r="K916" s="179"/>
      <c r="L916" s="179"/>
      <c r="M916" s="179"/>
      <c r="N916" s="179"/>
      <c r="O916" s="179"/>
    </row>
    <row r="917" ht="15.75" customHeight="1">
      <c r="I917" s="179"/>
      <c r="J917" s="179"/>
      <c r="K917" s="179"/>
      <c r="L917" s="179"/>
      <c r="M917" s="179"/>
      <c r="N917" s="179"/>
      <c r="O917" s="179"/>
    </row>
    <row r="918" ht="15.75" customHeight="1">
      <c r="I918" s="179"/>
      <c r="J918" s="179"/>
      <c r="K918" s="179"/>
      <c r="L918" s="179"/>
      <c r="M918" s="179"/>
      <c r="N918" s="179"/>
      <c r="O918" s="179"/>
    </row>
    <row r="919" ht="15.75" customHeight="1">
      <c r="I919" s="179"/>
      <c r="J919" s="179"/>
      <c r="K919" s="179"/>
      <c r="L919" s="179"/>
      <c r="M919" s="179"/>
      <c r="N919" s="179"/>
      <c r="O919" s="179"/>
    </row>
    <row r="920" ht="15.75" customHeight="1">
      <c r="I920" s="179"/>
      <c r="J920" s="179"/>
      <c r="K920" s="179"/>
      <c r="L920" s="179"/>
      <c r="M920" s="179"/>
      <c r="N920" s="179"/>
      <c r="O920" s="179"/>
    </row>
    <row r="921" ht="15.75" customHeight="1">
      <c r="I921" s="179"/>
      <c r="J921" s="179"/>
      <c r="K921" s="179"/>
      <c r="L921" s="179"/>
      <c r="M921" s="179"/>
      <c r="N921" s="179"/>
      <c r="O921" s="179"/>
    </row>
    <row r="922" ht="15.75" customHeight="1">
      <c r="I922" s="179"/>
      <c r="J922" s="179"/>
      <c r="K922" s="179"/>
      <c r="L922" s="179"/>
      <c r="M922" s="179"/>
      <c r="N922" s="179"/>
      <c r="O922" s="179"/>
    </row>
    <row r="923" ht="15.75" customHeight="1">
      <c r="I923" s="179"/>
      <c r="J923" s="179"/>
      <c r="K923" s="179"/>
      <c r="L923" s="179"/>
      <c r="M923" s="179"/>
      <c r="N923" s="179"/>
      <c r="O923" s="179"/>
    </row>
    <row r="924" ht="15.75" customHeight="1">
      <c r="I924" s="179"/>
      <c r="J924" s="179"/>
      <c r="K924" s="179"/>
      <c r="L924" s="179"/>
      <c r="M924" s="179"/>
      <c r="N924" s="179"/>
      <c r="O924" s="179"/>
    </row>
    <row r="925" ht="15.75" customHeight="1">
      <c r="I925" s="179"/>
      <c r="J925" s="179"/>
      <c r="K925" s="179"/>
      <c r="L925" s="179"/>
      <c r="M925" s="179"/>
      <c r="N925" s="179"/>
      <c r="O925" s="179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0.86"/>
    <col customWidth="1" min="5" max="5" width="15.71"/>
    <col customWidth="1" hidden="1" min="6" max="6" width="12.43"/>
    <col customWidth="1" min="7" max="7" width="14.0"/>
    <col customWidth="1" min="8" max="8" width="15.14"/>
    <col customWidth="1" min="9" max="9" width="11.29"/>
    <col customWidth="1" min="10" max="10" width="13.43"/>
    <col customWidth="1" min="11" max="11" width="12.0"/>
    <col customWidth="1" min="12" max="12" width="14.71"/>
    <col customWidth="1" min="13" max="13" width="12.43"/>
    <col customWidth="1" min="14" max="14" width="13.57"/>
    <col customWidth="1" min="15" max="15" width="11.57"/>
    <col customWidth="1" min="16" max="16" width="10.57"/>
    <col customWidth="1" min="17" max="17" width="9.71"/>
    <col customWidth="1" min="18" max="19" width="8.71"/>
    <col customWidth="1" min="20" max="20" width="11.57"/>
    <col customWidth="1" min="21" max="21" width="77.71"/>
    <col customWidth="1" min="22" max="24" width="8.71"/>
  </cols>
  <sheetData>
    <row r="1" ht="68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45.0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48">
        <v>45689.0</v>
      </c>
      <c r="B3" s="49"/>
      <c r="C3" s="50"/>
      <c r="D3" s="50"/>
      <c r="E3" s="50">
        <f>956.82+100.8</f>
        <v>1057.62</v>
      </c>
      <c r="F3" s="27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>
        <f>5++5+5+5+5+5+5+5+5+87.51+5+23.75+5+5+5+5+5+5+80+5+5+5+15+5+5+5+5+5+5+5+5+15+5+5+5+5+5+5+23.75+5+87.51+5+5+5+5+5+5+5+5+5+80+5+5+5+5+5+5+5+5+5+5+5+5+5+5+5+5+15+5+5+5+5+5+5+5+5+5+5+5+5+5+5+5+5+5+5+5+5</f>
        <v>822.52</v>
      </c>
      <c r="U3" s="17" t="s">
        <v>20</v>
      </c>
      <c r="V3" s="27"/>
      <c r="W3" s="27"/>
      <c r="X3" s="27"/>
    </row>
    <row r="4" ht="14.25" customHeight="1">
      <c r="A4" s="51">
        <v>45689.0</v>
      </c>
      <c r="B4" s="52"/>
      <c r="C4" s="53"/>
      <c r="D4" s="53"/>
      <c r="E4" s="53">
        <f>9.5+49.5</f>
        <v>59</v>
      </c>
      <c r="F4" s="27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/>
      <c r="U4" s="17"/>
      <c r="V4" s="27"/>
      <c r="W4" s="27"/>
      <c r="X4" s="27"/>
    </row>
    <row r="5" ht="14.25" customHeight="1">
      <c r="A5" s="51">
        <v>45690.0</v>
      </c>
      <c r="B5" s="52"/>
      <c r="C5" s="53"/>
      <c r="D5" s="53"/>
      <c r="E5" s="53">
        <f>1136.69+228.27</f>
        <v>1364.96</v>
      </c>
      <c r="F5" s="27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>
        <f>2295+2035</f>
        <v>4330</v>
      </c>
      <c r="U5" s="21" t="s">
        <v>21</v>
      </c>
      <c r="V5" s="27"/>
      <c r="W5" s="27"/>
      <c r="X5" s="27"/>
    </row>
    <row r="6" ht="14.25" customHeight="1">
      <c r="A6" s="51">
        <v>45690.0</v>
      </c>
      <c r="B6" s="52"/>
      <c r="C6" s="53"/>
      <c r="D6" s="53"/>
      <c r="E6" s="53">
        <f>9.5</f>
        <v>9.5</v>
      </c>
      <c r="F6" s="2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6">
        <v>9773.02</v>
      </c>
      <c r="U6" s="22" t="s">
        <v>22</v>
      </c>
      <c r="V6" s="27"/>
      <c r="W6" s="27"/>
      <c r="X6" s="27"/>
    </row>
    <row r="7" ht="14.25" customHeight="1">
      <c r="A7" s="51">
        <v>45691.0</v>
      </c>
      <c r="B7" s="54" t="s">
        <v>48</v>
      </c>
      <c r="C7" s="55">
        <v>8119.94</v>
      </c>
      <c r="D7" s="53"/>
      <c r="E7" s="53">
        <f>3759.57+1412.02+178.08</f>
        <v>5349.67</v>
      </c>
      <c r="F7" s="27"/>
      <c r="G7" s="53"/>
      <c r="H7" s="53"/>
      <c r="I7" s="53"/>
      <c r="J7" s="53"/>
      <c r="K7" s="53">
        <f>32580+35350+8400</f>
        <v>76330</v>
      </c>
      <c r="L7" s="53"/>
      <c r="M7" s="53"/>
      <c r="N7" s="53">
        <f>3000</f>
        <v>3000</v>
      </c>
      <c r="O7" s="53"/>
      <c r="P7" s="53"/>
      <c r="Q7" s="53"/>
      <c r="R7" s="53"/>
      <c r="S7" s="53"/>
      <c r="T7" s="26">
        <v>363.22</v>
      </c>
      <c r="U7" s="22" t="s">
        <v>23</v>
      </c>
      <c r="V7" s="27"/>
      <c r="W7" s="27"/>
      <c r="X7" s="27"/>
    </row>
    <row r="8" ht="14.25" customHeight="1">
      <c r="A8" s="51">
        <v>45691.0</v>
      </c>
      <c r="B8" s="52"/>
      <c r="C8" s="53"/>
      <c r="D8" s="53"/>
      <c r="E8" s="53">
        <f>500+10000+1499.5+199.5+0.5+0.5</f>
        <v>12200</v>
      </c>
      <c r="F8" s="2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6">
        <v>1800.0</v>
      </c>
      <c r="U8" s="22" t="s">
        <v>49</v>
      </c>
      <c r="V8" s="27"/>
      <c r="W8" s="27"/>
      <c r="X8" s="27"/>
    </row>
    <row r="9" ht="14.25" customHeight="1">
      <c r="A9" s="51">
        <v>45692.0</v>
      </c>
      <c r="B9" s="52"/>
      <c r="C9" s="53"/>
      <c r="D9" s="53"/>
      <c r="E9" s="53">
        <f>352.98+17.97</f>
        <v>370.95</v>
      </c>
      <c r="F9" s="27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>
        <f>42700+32900+22300+6000+16800+16780+15200+2650+4000+16780+65400+7600+16800+15200+63386</f>
        <v>344496</v>
      </c>
      <c r="U9" s="22" t="s">
        <v>25</v>
      </c>
      <c r="V9" s="27"/>
      <c r="W9" s="27"/>
      <c r="X9" s="27"/>
    </row>
    <row r="10" ht="14.25" customHeight="1">
      <c r="A10" s="51">
        <v>45692.0</v>
      </c>
      <c r="B10" s="56"/>
      <c r="C10" s="53"/>
      <c r="D10" s="53"/>
      <c r="E10" s="53">
        <f>99.5</f>
        <v>99.5</v>
      </c>
      <c r="F10" s="27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22" t="s">
        <v>26</v>
      </c>
      <c r="V10" s="27"/>
      <c r="W10" s="27"/>
      <c r="X10" s="27"/>
    </row>
    <row r="11" ht="14.25" customHeight="1">
      <c r="A11" s="51">
        <v>45693.0</v>
      </c>
      <c r="B11" s="52"/>
      <c r="C11" s="53"/>
      <c r="D11" s="53"/>
      <c r="E11" s="53">
        <f>200+1.58+206.78</f>
        <v>408.36</v>
      </c>
      <c r="F11" s="27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>
        <f>1386</f>
        <v>1386</v>
      </c>
      <c r="U11" s="22" t="s">
        <v>27</v>
      </c>
      <c r="V11" s="27"/>
      <c r="W11" s="27"/>
      <c r="X11" s="27"/>
    </row>
    <row r="12" ht="14.25" customHeight="1">
      <c r="A12" s="51">
        <v>45693.0</v>
      </c>
      <c r="B12" s="52"/>
      <c r="C12" s="53"/>
      <c r="D12" s="53"/>
      <c r="E12" s="55">
        <v>125100.0</v>
      </c>
      <c r="F12" s="27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>
        <f>50003.8+13501.95+25001.9+6502.65+4750.9+6502.65+13501.95+17502.1+17502.1+17502.1+17502.1+16000.6+15003.45+2971.72+4750.9+50003.8+17502.1+17502.1+17093.49+371.47+6502.65+22030.18+17130.63+6502.65+408.61+16000.6+15003.45+13501.95+13501.95+35004.2</f>
        <v>476560.7</v>
      </c>
      <c r="U12" s="22" t="s">
        <v>28</v>
      </c>
      <c r="V12" s="27"/>
      <c r="W12" s="27"/>
      <c r="X12" s="27"/>
    </row>
    <row r="13" ht="14.25" customHeight="1">
      <c r="A13" s="51">
        <v>45694.0</v>
      </c>
      <c r="B13" s="52"/>
      <c r="C13" s="53"/>
      <c r="D13" s="53"/>
      <c r="E13" s="53">
        <f>4711.13+888.99+480.98</f>
        <v>6081.1</v>
      </c>
      <c r="F13" s="27"/>
      <c r="G13" s="53"/>
      <c r="H13" s="53">
        <f>14014</f>
        <v>14014</v>
      </c>
      <c r="I13" s="53"/>
      <c r="J13" s="53"/>
      <c r="K13" s="53"/>
      <c r="L13" s="53"/>
      <c r="M13" s="53"/>
      <c r="N13" s="53">
        <f>2454+4385.73</f>
        <v>6839.73</v>
      </c>
      <c r="O13" s="53"/>
      <c r="P13" s="53"/>
      <c r="Q13" s="53"/>
      <c r="R13" s="53"/>
      <c r="S13" s="53"/>
      <c r="T13" s="27">
        <f>50290.9+11429.75+41147.1+17789.2+14554.8+4043+219.5+106.13+790.21+14467.96+17683.07+965.81+4018.88+11210.25+40356.89+24.12+49325.09+86.84</f>
        <v>278509.5</v>
      </c>
      <c r="U13" s="26" t="s">
        <v>29</v>
      </c>
      <c r="V13" s="27"/>
      <c r="W13" s="27"/>
      <c r="X13" s="27"/>
    </row>
    <row r="14" ht="14.25" customHeight="1">
      <c r="A14" s="51">
        <v>45694.0</v>
      </c>
      <c r="B14" s="52"/>
      <c r="C14" s="53"/>
      <c r="D14" s="53"/>
      <c r="E14" s="53">
        <f>1000+9.5</f>
        <v>1009.5</v>
      </c>
      <c r="F14" s="27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27">
        <f>1474.7+1643.8</f>
        <v>3118.5</v>
      </c>
      <c r="U14" s="22" t="s">
        <v>30</v>
      </c>
      <c r="V14" s="27"/>
      <c r="W14" s="27"/>
      <c r="X14" s="27"/>
    </row>
    <row r="15" ht="14.25" customHeight="1">
      <c r="A15" s="51">
        <v>45695.0</v>
      </c>
      <c r="B15" s="56"/>
      <c r="C15" s="53"/>
      <c r="D15" s="53"/>
      <c r="E15" s="53">
        <f>5178.32+5421.48+257.88</f>
        <v>10857.68</v>
      </c>
      <c r="F15" s="27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22" t="s">
        <v>31</v>
      </c>
      <c r="V15" s="27"/>
      <c r="W15" s="27"/>
      <c r="X15" s="27"/>
    </row>
    <row r="16" ht="14.25" customHeight="1">
      <c r="A16" s="51">
        <v>45695.0</v>
      </c>
      <c r="B16" s="52"/>
      <c r="C16" s="53"/>
      <c r="D16" s="53"/>
      <c r="E16" s="53">
        <f>5452+6531+197.4</f>
        <v>12180.4</v>
      </c>
      <c r="F16" s="27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/>
      <c r="U16" s="28" t="s">
        <v>32</v>
      </c>
      <c r="V16" s="27"/>
      <c r="W16" s="27"/>
      <c r="X16" s="27"/>
    </row>
    <row r="17" ht="14.25" customHeight="1">
      <c r="A17" s="51">
        <v>45696.0</v>
      </c>
      <c r="B17" s="52"/>
      <c r="C17" s="53"/>
      <c r="D17" s="53"/>
      <c r="E17" s="53">
        <f>1924.23+683.33</f>
        <v>2607.56</v>
      </c>
      <c r="F17" s="27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10">
        <f>1133.93</f>
        <v>1133.93</v>
      </c>
      <c r="U17" s="22" t="s">
        <v>33</v>
      </c>
      <c r="V17" s="27"/>
      <c r="W17" s="27"/>
      <c r="X17" s="27"/>
    </row>
    <row r="18" ht="14.25" customHeight="1">
      <c r="A18" s="51">
        <v>45696.0</v>
      </c>
      <c r="B18" s="52"/>
      <c r="C18" s="53"/>
      <c r="D18" s="53"/>
      <c r="E18" s="53">
        <f>1999.5+9.5+10.5</f>
        <v>2019.5</v>
      </c>
      <c r="F18" s="27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10">
        <f>770</f>
        <v>770</v>
      </c>
      <c r="U18" s="22" t="s">
        <v>34</v>
      </c>
      <c r="V18" s="27"/>
      <c r="W18" s="27"/>
      <c r="X18" s="27"/>
    </row>
    <row r="19" ht="14.25" customHeight="1">
      <c r="A19" s="51">
        <v>45697.0</v>
      </c>
      <c r="B19" s="52"/>
      <c r="C19" s="53"/>
      <c r="D19" s="53"/>
      <c r="E19" s="53">
        <f>4388.28+2325.08</f>
        <v>6713.36</v>
      </c>
      <c r="F19" s="27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10">
        <f>9500</f>
        <v>9500</v>
      </c>
      <c r="U19" s="28" t="s">
        <v>50</v>
      </c>
      <c r="V19" s="27"/>
      <c r="W19" s="27"/>
      <c r="X19" s="27"/>
    </row>
    <row r="20" ht="14.25" customHeight="1">
      <c r="A20" s="51">
        <v>45697.0</v>
      </c>
      <c r="B20" s="52"/>
      <c r="C20" s="53"/>
      <c r="D20" s="53"/>
      <c r="E20" s="53">
        <f>100+200+99.5</f>
        <v>399.5</v>
      </c>
      <c r="F20" s="27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10">
        <f>3630+1455+700</f>
        <v>5785</v>
      </c>
      <c r="U20" s="28" t="s">
        <v>36</v>
      </c>
      <c r="V20" s="27"/>
      <c r="W20" s="27"/>
      <c r="X20" s="27"/>
    </row>
    <row r="21" ht="14.25" customHeight="1">
      <c r="A21" s="51">
        <v>45698.0</v>
      </c>
      <c r="B21" s="52"/>
      <c r="C21" s="53"/>
      <c r="D21" s="53"/>
      <c r="E21" s="53">
        <f>2746.22+235.18</f>
        <v>2981.4</v>
      </c>
      <c r="F21" s="27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33">
        <v>720.0</v>
      </c>
      <c r="U21" s="28" t="s">
        <v>37</v>
      </c>
      <c r="V21" s="27"/>
      <c r="W21" s="27"/>
      <c r="X21" s="27"/>
    </row>
    <row r="22" ht="14.25" customHeight="1">
      <c r="A22" s="51">
        <v>45698.0</v>
      </c>
      <c r="B22" s="52"/>
      <c r="C22" s="53"/>
      <c r="D22" s="53"/>
      <c r="E22" s="53">
        <f>9.5+5390</f>
        <v>5399.5</v>
      </c>
      <c r="F22" s="27"/>
      <c r="G22" s="53"/>
      <c r="H22" s="53"/>
      <c r="I22" s="53"/>
      <c r="J22" s="53"/>
      <c r="K22" s="53"/>
      <c r="L22" s="53">
        <f>38644+38328</f>
        <v>76972</v>
      </c>
      <c r="M22" s="53"/>
      <c r="N22" s="53"/>
      <c r="O22" s="53"/>
      <c r="P22" s="53"/>
      <c r="Q22" s="53"/>
      <c r="R22" s="53"/>
      <c r="S22" s="53"/>
      <c r="T22" s="10">
        <f>90335</f>
        <v>90335</v>
      </c>
      <c r="U22" s="22" t="s">
        <v>38</v>
      </c>
      <c r="V22" s="27"/>
      <c r="W22" s="27"/>
      <c r="X22" s="27"/>
    </row>
    <row r="23" ht="14.25" customHeight="1">
      <c r="A23" s="51">
        <v>45699.0</v>
      </c>
      <c r="B23" s="52"/>
      <c r="C23" s="53"/>
      <c r="D23" s="53"/>
      <c r="E23" s="53">
        <f>198.12</f>
        <v>198.12</v>
      </c>
      <c r="F23" s="27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7">
        <v>80000.0</v>
      </c>
      <c r="U23" s="32" t="s">
        <v>39</v>
      </c>
      <c r="V23" s="27"/>
      <c r="W23" s="27"/>
      <c r="X23" s="27"/>
    </row>
    <row r="24" ht="14.25" customHeight="1">
      <c r="A24" s="51">
        <v>45699.0</v>
      </c>
      <c r="B24" s="54" t="s">
        <v>51</v>
      </c>
      <c r="C24" s="55">
        <v>126746.83</v>
      </c>
      <c r="D24" s="53"/>
      <c r="E24" s="53">
        <f>9.5+9.5+3897+103+610</f>
        <v>4629</v>
      </c>
      <c r="F24" s="27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7">
        <v>46000.0</v>
      </c>
      <c r="U24" s="22" t="s">
        <v>40</v>
      </c>
      <c r="V24" s="27"/>
      <c r="W24" s="27"/>
      <c r="X24" s="27"/>
    </row>
    <row r="25" ht="14.25" customHeight="1">
      <c r="A25" s="51">
        <v>45700.0</v>
      </c>
      <c r="B25" s="54" t="s">
        <v>52</v>
      </c>
      <c r="C25" s="55">
        <v>2013.1</v>
      </c>
      <c r="D25" s="53"/>
      <c r="E25" s="53">
        <f>1277.61+74.84</f>
        <v>1352.45</v>
      </c>
      <c r="F25" s="2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7">
        <v>6000.0</v>
      </c>
      <c r="U25" s="33" t="s">
        <v>41</v>
      </c>
      <c r="V25" s="27"/>
      <c r="W25" s="27"/>
      <c r="X25" s="27"/>
    </row>
    <row r="26" ht="14.25" customHeight="1">
      <c r="A26" s="51">
        <v>45700.0</v>
      </c>
      <c r="B26" s="52"/>
      <c r="C26" s="53"/>
      <c r="D26" s="53"/>
      <c r="E26" s="55">
        <f>49.5+350+2000+0.5</f>
        <v>2400</v>
      </c>
      <c r="F26" s="27"/>
      <c r="G26" s="53"/>
      <c r="H26" s="53">
        <f>278980+197615+89340</f>
        <v>565935</v>
      </c>
      <c r="I26" s="53"/>
      <c r="J26" s="53"/>
      <c r="K26" s="53"/>
      <c r="L26" s="53"/>
      <c r="M26" s="53"/>
      <c r="N26" s="53">
        <f>6904.8+15690.43</f>
        <v>22595.23</v>
      </c>
      <c r="O26" s="53"/>
      <c r="P26" s="53"/>
      <c r="Q26" s="53"/>
      <c r="R26" s="53"/>
      <c r="S26" s="53"/>
      <c r="T26" s="57">
        <v>2449.58</v>
      </c>
      <c r="U26" s="33" t="s">
        <v>42</v>
      </c>
      <c r="V26" s="27"/>
      <c r="W26" s="27"/>
      <c r="X26" s="27"/>
    </row>
    <row r="27" ht="14.25" customHeight="1">
      <c r="A27" s="51">
        <v>45701.0</v>
      </c>
      <c r="B27" s="53"/>
      <c r="C27" s="53"/>
      <c r="D27" s="53"/>
      <c r="E27" s="53">
        <f>4319.84+224.43+450.04</f>
        <v>4994.31</v>
      </c>
      <c r="F27" s="27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8">
        <f>3840</f>
        <v>3840</v>
      </c>
      <c r="U27" s="57" t="s">
        <v>53</v>
      </c>
      <c r="V27" s="27"/>
      <c r="W27" s="27"/>
      <c r="X27" s="27"/>
    </row>
    <row r="28" ht="14.25" customHeight="1">
      <c r="A28" s="51">
        <v>45701.0</v>
      </c>
      <c r="B28" s="53"/>
      <c r="C28" s="53"/>
      <c r="D28" s="53"/>
      <c r="E28" s="53">
        <f>500+299.5+149.5+9.5</f>
        <v>958.5</v>
      </c>
      <c r="F28" s="27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8">
        <f>9000</f>
        <v>9000</v>
      </c>
      <c r="U28" s="57" t="s">
        <v>54</v>
      </c>
      <c r="V28" s="27"/>
      <c r="W28" s="27"/>
      <c r="X28" s="27"/>
    </row>
    <row r="29" ht="14.25" customHeight="1">
      <c r="A29" s="51">
        <v>45702.0</v>
      </c>
      <c r="B29" s="55" t="s">
        <v>55</v>
      </c>
      <c r="C29" s="55">
        <v>1262.0</v>
      </c>
      <c r="D29" s="53"/>
      <c r="E29" s="53">
        <f>4502.48+1484.72+320.99</f>
        <v>6308.19</v>
      </c>
      <c r="F29" s="27"/>
      <c r="G29" s="53"/>
      <c r="H29" s="53">
        <f>411500</f>
        <v>411500</v>
      </c>
      <c r="I29" s="53"/>
      <c r="J29" s="53"/>
      <c r="K29" s="53">
        <f>30000+11950+10000</f>
        <v>51950</v>
      </c>
      <c r="L29" s="53"/>
      <c r="M29" s="53"/>
      <c r="O29" s="53"/>
      <c r="P29" s="53"/>
      <c r="Q29" s="53"/>
      <c r="R29" s="53"/>
      <c r="S29" s="53"/>
      <c r="T29" s="58">
        <f>2400</f>
        <v>2400</v>
      </c>
      <c r="U29" s="57" t="s">
        <v>56</v>
      </c>
      <c r="V29" s="27"/>
      <c r="W29" s="27"/>
      <c r="X29" s="27"/>
    </row>
    <row r="30" ht="14.25" customHeight="1">
      <c r="A30" s="51">
        <v>45702.0</v>
      </c>
      <c r="B30" s="53"/>
      <c r="C30" s="53"/>
      <c r="D30" s="53"/>
      <c r="E30" s="53">
        <f>47850+24.5</f>
        <v>47874.5</v>
      </c>
      <c r="F30" s="27"/>
      <c r="G30" s="53"/>
      <c r="H30" s="53"/>
      <c r="I30" s="53">
        <f>213600</f>
        <v>213600</v>
      </c>
      <c r="J30" s="53"/>
      <c r="K30" s="53"/>
      <c r="L30" s="53"/>
      <c r="M30" s="53"/>
      <c r="N30" s="53">
        <f>928.7</f>
        <v>928.7</v>
      </c>
      <c r="O30" s="53"/>
      <c r="P30" s="53"/>
      <c r="Q30" s="53"/>
      <c r="R30" s="53"/>
      <c r="S30" s="53"/>
      <c r="T30" s="58">
        <f>2160</f>
        <v>2160</v>
      </c>
      <c r="U30" s="57" t="s">
        <v>57</v>
      </c>
      <c r="V30" s="27"/>
      <c r="W30" s="27"/>
      <c r="X30" s="27"/>
    </row>
    <row r="31" ht="14.25" customHeight="1">
      <c r="A31" s="9">
        <v>45703.0</v>
      </c>
      <c r="B31" s="53"/>
      <c r="C31" s="53"/>
      <c r="D31" s="53"/>
      <c r="E31" s="53">
        <f>588.18+5.85+344.01</f>
        <v>938.04</v>
      </c>
      <c r="F31" s="27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7">
        <v>970.0</v>
      </c>
      <c r="U31" s="57" t="s">
        <v>58</v>
      </c>
      <c r="V31" s="27"/>
      <c r="W31" s="27"/>
      <c r="X31" s="27"/>
    </row>
    <row r="32" ht="14.25" customHeight="1">
      <c r="A32" s="9">
        <v>45703.0</v>
      </c>
      <c r="B32" s="53"/>
      <c r="C32" s="53"/>
      <c r="D32" s="53"/>
      <c r="E32" s="53">
        <f>0.5+199.5+2999.5</f>
        <v>3199.5</v>
      </c>
      <c r="F32" s="27"/>
      <c r="G32" s="53"/>
      <c r="H32" s="53"/>
      <c r="I32" s="53"/>
      <c r="J32" s="53"/>
      <c r="K32" s="53"/>
      <c r="L32" s="53">
        <f>30320+17808+36076</f>
        <v>84204</v>
      </c>
      <c r="M32" s="53"/>
      <c r="N32" s="53"/>
      <c r="O32" s="53"/>
      <c r="P32" s="53"/>
      <c r="Q32" s="53"/>
      <c r="R32" s="53"/>
      <c r="S32" s="53"/>
      <c r="T32" s="57">
        <v>6400.0</v>
      </c>
      <c r="U32" s="57" t="s">
        <v>59</v>
      </c>
      <c r="V32" s="27"/>
      <c r="W32" s="27"/>
      <c r="X32" s="27"/>
    </row>
    <row r="33" ht="14.25" customHeight="1">
      <c r="A33" s="9">
        <v>45704.0</v>
      </c>
      <c r="B33" s="53"/>
      <c r="C33" s="53"/>
      <c r="D33" s="53"/>
      <c r="E33" s="53">
        <f>1585.43+663.78+220.22</f>
        <v>2469.43</v>
      </c>
      <c r="F33" s="27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7">
        <v>5000.0</v>
      </c>
      <c r="U33" s="57" t="s">
        <v>60</v>
      </c>
      <c r="V33" s="27"/>
      <c r="W33" s="27"/>
      <c r="X33" s="27"/>
    </row>
    <row r="34" ht="14.25" customHeight="1">
      <c r="A34" s="9">
        <v>45704.0</v>
      </c>
      <c r="B34" s="53"/>
      <c r="C34" s="53"/>
      <c r="D34" s="53"/>
      <c r="E34" s="53">
        <f>9.5+990.5+6000</f>
        <v>7000</v>
      </c>
      <c r="F34" s="27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7">
        <v>30567.75</v>
      </c>
      <c r="U34" s="57" t="s">
        <v>61</v>
      </c>
      <c r="V34" s="27"/>
      <c r="W34" s="27"/>
      <c r="X34" s="27"/>
    </row>
    <row r="35" ht="14.25" customHeight="1">
      <c r="A35" s="9">
        <v>45705.0</v>
      </c>
      <c r="B35" s="55" t="s">
        <v>52</v>
      </c>
      <c r="C35" s="55">
        <v>3878.9</v>
      </c>
      <c r="D35" s="53"/>
      <c r="E35" s="53">
        <f>2508.3+918.77</f>
        <v>3427.07</v>
      </c>
      <c r="F35" s="27"/>
      <c r="G35" s="53"/>
      <c r="H35" s="53"/>
      <c r="I35" s="53"/>
      <c r="J35" s="53"/>
      <c r="K35" s="53"/>
      <c r="L35" s="53"/>
      <c r="M35" s="53"/>
      <c r="N35" s="53">
        <f>2918</f>
        <v>2918</v>
      </c>
      <c r="O35" s="53"/>
      <c r="P35" s="53"/>
      <c r="Q35" s="53"/>
      <c r="R35" s="53"/>
      <c r="S35" s="53"/>
      <c r="V35" s="27"/>
      <c r="W35" s="27"/>
      <c r="X35" s="27"/>
    </row>
    <row r="36" ht="14.25" customHeight="1">
      <c r="A36" s="9">
        <v>45705.0</v>
      </c>
      <c r="B36" s="55" t="s">
        <v>44</v>
      </c>
      <c r="C36" s="55">
        <v>2615.44</v>
      </c>
      <c r="D36" s="53"/>
      <c r="E36" s="53">
        <f>8143+1436</f>
        <v>9579</v>
      </c>
      <c r="F36" s="27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V36" s="27"/>
      <c r="W36" s="27"/>
      <c r="X36" s="27"/>
    </row>
    <row r="37" ht="14.25" customHeight="1">
      <c r="A37" s="9">
        <v>45706.0</v>
      </c>
      <c r="B37" s="53"/>
      <c r="C37" s="53"/>
      <c r="D37" s="53"/>
      <c r="E37" s="53">
        <f>3300+600+3300+0.5+0.5+0.5</f>
        <v>7201.5</v>
      </c>
      <c r="F37" s="27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V37" s="27"/>
      <c r="W37" s="27"/>
      <c r="X37" s="27"/>
    </row>
    <row r="38" ht="14.25" customHeight="1">
      <c r="A38" s="9">
        <v>45706.0</v>
      </c>
      <c r="B38" s="15"/>
      <c r="C38" s="15"/>
      <c r="D38" s="11"/>
      <c r="E38" s="15">
        <f>210+36716</f>
        <v>36926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ht="14.25" customHeight="1">
      <c r="A39" s="9">
        <v>45707.0</v>
      </c>
      <c r="B39" s="11"/>
      <c r="C39" s="11"/>
      <c r="D39" s="11"/>
      <c r="E39" s="15">
        <f>2056.95+3541+1246</f>
        <v>6843.95</v>
      </c>
      <c r="G39" s="15"/>
      <c r="H39" s="15"/>
      <c r="I39" s="11"/>
      <c r="J39" s="15"/>
      <c r="K39" s="15"/>
      <c r="L39" s="15"/>
      <c r="M39" s="15"/>
      <c r="N39" s="15"/>
      <c r="O39" s="15"/>
      <c r="P39" s="15"/>
      <c r="Q39" s="15"/>
      <c r="R39" s="11"/>
      <c r="S39" s="15"/>
    </row>
    <row r="40" ht="14.25" customHeight="1">
      <c r="A40" s="9">
        <v>45707.0</v>
      </c>
      <c r="B40" s="15"/>
      <c r="C40" s="15"/>
      <c r="D40" s="11"/>
      <c r="E40" s="15">
        <f>987+4356+2351+1648</f>
        <v>9342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ht="14.25" customHeight="1">
      <c r="A41" s="9">
        <v>45708.0</v>
      </c>
      <c r="B41" s="15"/>
      <c r="C41" s="15"/>
      <c r="D41" s="11"/>
      <c r="E41" s="15">
        <f>4.5+299.5+9.5</f>
        <v>313.5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ht="14.25" customHeight="1">
      <c r="A42" s="9">
        <v>45708.0</v>
      </c>
      <c r="B42" s="59" t="s">
        <v>62</v>
      </c>
      <c r="C42" s="59">
        <v>36788.0</v>
      </c>
      <c r="D42" s="11"/>
      <c r="E42" s="15">
        <f>2060.81+397.38</f>
        <v>2458.19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ht="14.25" customHeight="1">
      <c r="A43" s="9">
        <v>45709.0</v>
      </c>
      <c r="B43" s="59" t="s">
        <v>63</v>
      </c>
      <c r="C43" s="59">
        <v>50000.0</v>
      </c>
      <c r="D43" s="11"/>
      <c r="E43" s="15">
        <f>300+1199.5+0.5</f>
        <v>1500</v>
      </c>
      <c r="G43" s="15"/>
      <c r="H43" s="15"/>
      <c r="I43" s="15"/>
      <c r="J43" s="15"/>
      <c r="K43" s="15">
        <f>37500</f>
        <v>37500</v>
      </c>
      <c r="L43" s="15">
        <f>3600+36788+10520</f>
        <v>50908</v>
      </c>
      <c r="M43" s="15"/>
      <c r="N43" s="15">
        <f>325.1</f>
        <v>325.1</v>
      </c>
      <c r="O43" s="15"/>
      <c r="P43" s="15"/>
      <c r="Q43" s="15"/>
      <c r="R43" s="15"/>
      <c r="S43" s="15"/>
    </row>
    <row r="44" ht="14.25" customHeight="1">
      <c r="A44" s="9">
        <v>45709.0</v>
      </c>
      <c r="B44" s="11"/>
      <c r="C44" s="11"/>
      <c r="D44" s="11"/>
      <c r="E44" s="15">
        <f>2276.18+18.98</f>
        <v>2295.16</v>
      </c>
      <c r="G44" s="15"/>
      <c r="H44" s="15"/>
      <c r="I44" s="15"/>
      <c r="J44" s="15"/>
      <c r="K44" s="15"/>
      <c r="L44" s="15"/>
      <c r="M44" s="15"/>
      <c r="N44" s="15">
        <f>4303.85</f>
        <v>4303.85</v>
      </c>
      <c r="O44" s="15"/>
      <c r="P44" s="15"/>
      <c r="Q44" s="15"/>
      <c r="R44" s="15"/>
      <c r="S44" s="15"/>
    </row>
    <row r="45" ht="14.25" customHeight="1">
      <c r="A45" s="9">
        <v>45710.0</v>
      </c>
      <c r="B45" s="15"/>
      <c r="C45" s="15"/>
      <c r="D45" s="11"/>
      <c r="E45" s="15">
        <f>10.5+0.5+9.5</f>
        <v>20.5</v>
      </c>
      <c r="G45" s="15"/>
      <c r="H45" s="11"/>
      <c r="I45" s="15"/>
      <c r="J45" s="15"/>
      <c r="K45" s="15"/>
      <c r="L45" s="15"/>
      <c r="M45" s="15"/>
      <c r="N45" s="15"/>
      <c r="O45" s="15"/>
      <c r="P45" s="11"/>
      <c r="Q45" s="15"/>
      <c r="R45" s="11"/>
      <c r="S45" s="15"/>
    </row>
    <row r="46" ht="14.25" customHeight="1">
      <c r="A46" s="9">
        <v>45710.0</v>
      </c>
      <c r="B46" s="15"/>
      <c r="C46" s="15"/>
      <c r="D46" s="11"/>
      <c r="E46" s="15">
        <f>743.82+221.59+614.07</f>
        <v>1579.48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ht="14.25" customHeight="1">
      <c r="A47" s="9">
        <v>45711.0</v>
      </c>
      <c r="B47" s="15"/>
      <c r="C47" s="15"/>
      <c r="D47" s="11"/>
      <c r="E47" s="15">
        <f>5871+8564</f>
        <v>14435</v>
      </c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ht="14.25" customHeight="1">
      <c r="A48" s="9">
        <v>45711.0</v>
      </c>
      <c r="B48" s="15"/>
      <c r="C48" s="15"/>
      <c r="D48" s="11"/>
      <c r="E48" s="15">
        <f>498.7+16.69+813.33</f>
        <v>1328.72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U48" s="10"/>
    </row>
    <row r="49" ht="14.25" customHeight="1">
      <c r="A49" s="9">
        <v>45712.0</v>
      </c>
      <c r="B49" s="15"/>
      <c r="C49" s="15"/>
      <c r="D49" s="11"/>
      <c r="E49" s="15">
        <f>0.5+9.5+1557+7155</f>
        <v>8722</v>
      </c>
      <c r="G49" s="15"/>
      <c r="H49" s="15"/>
      <c r="I49" s="15"/>
      <c r="J49" s="15"/>
      <c r="K49" s="15"/>
      <c r="L49" s="15"/>
      <c r="M49" s="15"/>
      <c r="N49" s="15">
        <f>499</f>
        <v>499</v>
      </c>
      <c r="O49" s="15"/>
      <c r="P49" s="15"/>
      <c r="Q49" s="15"/>
      <c r="R49" s="15"/>
      <c r="S49" s="15"/>
      <c r="U49" s="10"/>
    </row>
    <row r="50" ht="14.25" customHeight="1">
      <c r="A50" s="9">
        <v>45712.0</v>
      </c>
      <c r="B50" s="15"/>
      <c r="C50" s="15"/>
      <c r="D50" s="11"/>
      <c r="E50" s="15">
        <f>2529.48+519.9</f>
        <v>3049.38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U50" s="10"/>
    </row>
    <row r="51" ht="14.25" customHeight="1">
      <c r="A51" s="9">
        <v>45713.0</v>
      </c>
      <c r="B51" s="15"/>
      <c r="C51" s="15"/>
      <c r="D51" s="11"/>
      <c r="E51" s="15">
        <f>0.5+0.5+99.5</f>
        <v>100.5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U51" s="10"/>
    </row>
    <row r="52" ht="14.25" customHeight="1">
      <c r="A52" s="9">
        <v>45713.0</v>
      </c>
      <c r="B52" s="15"/>
      <c r="C52" s="15"/>
      <c r="D52" s="11"/>
      <c r="E52" s="15">
        <f>5500+189.08</f>
        <v>5689.08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U52" s="10"/>
    </row>
    <row r="53" ht="14.25" customHeight="1">
      <c r="A53" s="9">
        <v>45714.0</v>
      </c>
      <c r="B53" s="11"/>
      <c r="C53" s="11"/>
      <c r="D53" s="11"/>
      <c r="E53" s="15">
        <f>199.5</f>
        <v>199.5</v>
      </c>
      <c r="G53" s="15"/>
      <c r="H53" s="15"/>
      <c r="I53" s="11"/>
      <c r="J53" s="15"/>
      <c r="K53" s="15"/>
      <c r="L53" s="15"/>
      <c r="M53" s="11"/>
      <c r="N53" s="15"/>
      <c r="O53" s="15"/>
      <c r="P53" s="11"/>
      <c r="Q53" s="15"/>
      <c r="R53" s="11"/>
      <c r="S53" s="15"/>
      <c r="U53" s="10"/>
    </row>
    <row r="54" ht="14.25" customHeight="1">
      <c r="A54" s="9">
        <v>45714.0</v>
      </c>
      <c r="B54" s="15"/>
      <c r="C54" s="15"/>
      <c r="D54" s="11"/>
      <c r="E54" s="15">
        <f>27.96+2845+6284</f>
        <v>9156.96</v>
      </c>
      <c r="G54" s="15"/>
      <c r="H54" s="15"/>
      <c r="I54" s="15"/>
      <c r="J54" s="15"/>
      <c r="K54" s="59">
        <f>99800+19199</f>
        <v>118999</v>
      </c>
      <c r="L54" s="15"/>
      <c r="M54" s="15"/>
      <c r="N54" s="15">
        <f>756</f>
        <v>756</v>
      </c>
      <c r="O54" s="15"/>
      <c r="P54" s="15"/>
      <c r="Q54" s="15"/>
      <c r="R54" s="15"/>
      <c r="S54" s="15"/>
      <c r="U54" s="10"/>
    </row>
    <row r="55" ht="14.25" customHeight="1">
      <c r="A55" s="9">
        <v>45715.0</v>
      </c>
      <c r="B55" s="15"/>
      <c r="C55" s="15"/>
      <c r="D55" s="11"/>
      <c r="E55" s="15">
        <f>1633.88+107.1</f>
        <v>1740.98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U55" s="10"/>
    </row>
    <row r="56" ht="14.25" customHeight="1">
      <c r="A56" s="9">
        <v>45715.0</v>
      </c>
      <c r="B56" s="11"/>
      <c r="C56" s="11"/>
      <c r="D56" s="11"/>
      <c r="E56" s="15">
        <f>499.5</f>
        <v>499.5</v>
      </c>
      <c r="G56" s="15"/>
      <c r="H56" s="15">
        <f>89340+131750</f>
        <v>221090</v>
      </c>
      <c r="I56" s="15"/>
      <c r="J56" s="15"/>
      <c r="K56" s="15"/>
      <c r="L56" s="15"/>
      <c r="M56" s="11"/>
      <c r="N56" s="15">
        <f>1642.45+1402.6+10240+18000</f>
        <v>31285.05</v>
      </c>
      <c r="O56" s="15"/>
      <c r="P56" s="15"/>
      <c r="Q56" s="15"/>
      <c r="R56" s="11"/>
      <c r="S56" s="15"/>
      <c r="U56" s="10"/>
    </row>
    <row r="57" ht="14.25" customHeight="1">
      <c r="A57" s="9">
        <v>45716.0</v>
      </c>
      <c r="B57" s="11"/>
      <c r="C57" s="11"/>
      <c r="D57" s="11"/>
      <c r="E57" s="57">
        <v>11051.66</v>
      </c>
      <c r="G57" s="15"/>
      <c r="H57" s="15"/>
      <c r="I57" s="15"/>
      <c r="J57" s="15"/>
      <c r="K57" s="15"/>
      <c r="L57" s="15"/>
      <c r="M57" s="11"/>
      <c r="N57" s="15">
        <f>9216</f>
        <v>9216</v>
      </c>
      <c r="O57" s="15"/>
      <c r="P57" s="15"/>
      <c r="Q57" s="15"/>
      <c r="R57" s="11"/>
      <c r="S57" s="15"/>
      <c r="U57" s="10"/>
    </row>
    <row r="58" ht="14.25" customHeight="1">
      <c r="A58" s="9">
        <v>45716.0</v>
      </c>
      <c r="B58" s="37" t="s">
        <v>64</v>
      </c>
      <c r="C58" s="37">
        <v>15000.0</v>
      </c>
      <c r="D58" s="38"/>
      <c r="E58" s="40">
        <f>24399.49+413.08+318886.54+9.5</f>
        <v>343708.61</v>
      </c>
      <c r="G58" s="37">
        <v>18.41</v>
      </c>
      <c r="H58" s="40"/>
      <c r="I58" s="38"/>
      <c r="J58" s="40"/>
      <c r="K58" s="40"/>
      <c r="L58" s="40"/>
      <c r="M58" s="40"/>
      <c r="N58" s="40"/>
      <c r="O58" s="40"/>
      <c r="P58" s="40"/>
      <c r="Q58" s="40"/>
      <c r="R58" s="40"/>
      <c r="S58" s="40"/>
      <c r="U58" s="10"/>
    </row>
    <row r="59" ht="14.25" customHeight="1">
      <c r="A59" s="42" t="s">
        <v>47</v>
      </c>
      <c r="B59" s="43"/>
      <c r="C59" s="43">
        <f t="shared" ref="C59:T59" si="1">SUM(C3:C58)</f>
        <v>246424.21</v>
      </c>
      <c r="D59" s="43">
        <f t="shared" si="1"/>
        <v>0</v>
      </c>
      <c r="E59" s="43">
        <f t="shared" si="1"/>
        <v>759759.34</v>
      </c>
      <c r="F59" s="43">
        <f t="shared" si="1"/>
        <v>0</v>
      </c>
      <c r="G59" s="43">
        <f t="shared" si="1"/>
        <v>18.41</v>
      </c>
      <c r="H59" s="43">
        <f t="shared" si="1"/>
        <v>1212539</v>
      </c>
      <c r="I59" s="43">
        <f t="shared" si="1"/>
        <v>213600</v>
      </c>
      <c r="J59" s="43">
        <f t="shared" si="1"/>
        <v>0</v>
      </c>
      <c r="K59" s="43">
        <f t="shared" si="1"/>
        <v>284779</v>
      </c>
      <c r="L59" s="43">
        <f t="shared" si="1"/>
        <v>212084</v>
      </c>
      <c r="M59" s="43">
        <f t="shared" si="1"/>
        <v>0</v>
      </c>
      <c r="N59" s="43">
        <f t="shared" si="1"/>
        <v>82666.66</v>
      </c>
      <c r="O59" s="43">
        <f t="shared" si="1"/>
        <v>0</v>
      </c>
      <c r="P59" s="43">
        <f t="shared" si="1"/>
        <v>0</v>
      </c>
      <c r="Q59" s="43">
        <f t="shared" si="1"/>
        <v>0</v>
      </c>
      <c r="R59" s="43">
        <f t="shared" si="1"/>
        <v>0</v>
      </c>
      <c r="S59" s="43">
        <f t="shared" si="1"/>
        <v>0</v>
      </c>
      <c r="T59" s="44">
        <f t="shared" si="1"/>
        <v>1424190.72</v>
      </c>
      <c r="U59" s="45"/>
      <c r="V59" s="45"/>
      <c r="W59" s="45"/>
      <c r="X59" s="45"/>
    </row>
    <row r="60" ht="14.25" customHeight="1">
      <c r="A60" s="9"/>
    </row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3">
    <mergeCell ref="B1:C1"/>
    <mergeCell ref="H1:S1"/>
    <mergeCell ref="T1:U1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6.43"/>
    <col customWidth="1" min="5" max="5" width="15.71"/>
    <col customWidth="1" hidden="1" min="6" max="6" width="12.43"/>
    <col customWidth="1" min="7" max="7" width="12.57"/>
    <col customWidth="1" min="8" max="9" width="11.29"/>
    <col customWidth="1" min="10" max="10" width="16.0"/>
    <col customWidth="1" min="11" max="11" width="13.43"/>
    <col customWidth="1" min="12" max="12" width="12.0"/>
    <col customWidth="1" min="13" max="13" width="14.29"/>
    <col customWidth="1" min="14" max="14" width="11.29"/>
    <col customWidth="1" min="15" max="15" width="11.57"/>
    <col customWidth="1" min="16" max="17" width="8.71"/>
    <col customWidth="1" min="18" max="18" width="10.86"/>
    <col customWidth="1" min="19" max="19" width="8.71"/>
    <col customWidth="1" min="20" max="20" width="11.57"/>
    <col customWidth="1" min="21" max="21" width="58.14"/>
    <col customWidth="1" min="22" max="24" width="8.71"/>
  </cols>
  <sheetData>
    <row r="1" ht="80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7.0" customHeight="1">
      <c r="A2" s="7" t="s">
        <v>7</v>
      </c>
      <c r="B2" s="4" t="s">
        <v>8</v>
      </c>
      <c r="C2" s="4" t="s">
        <v>9</v>
      </c>
      <c r="D2" s="4" t="s">
        <v>9</v>
      </c>
      <c r="E2" s="4" t="s">
        <v>9</v>
      </c>
      <c r="F2" s="4" t="s">
        <v>9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60"/>
      <c r="S2" s="4"/>
      <c r="T2" s="6"/>
      <c r="U2" s="8"/>
    </row>
    <row r="3" ht="14.25" customHeight="1">
      <c r="A3" s="51">
        <v>45717.0</v>
      </c>
      <c r="B3" s="52"/>
      <c r="C3" s="53"/>
      <c r="D3" s="53"/>
      <c r="E3" s="53">
        <f>49.5</f>
        <v>49.5</v>
      </c>
      <c r="F3" s="27"/>
      <c r="G3" s="53"/>
      <c r="H3" s="53"/>
      <c r="I3" s="53"/>
      <c r="J3" s="53"/>
      <c r="K3" s="53"/>
      <c r="L3" s="61"/>
      <c r="M3" s="53"/>
      <c r="N3" s="53"/>
      <c r="O3" s="53"/>
      <c r="P3" s="53"/>
      <c r="Q3" s="53"/>
      <c r="R3" s="53"/>
      <c r="S3" s="53"/>
      <c r="T3" s="27">
        <f>5+5+5+5+5+5+5+5+5+5+5+5+5+5+5+5+5+5+5+5+5+5+5+5+5+5+5+5+5+5+5+5+5+5+5+5+5+5+5+5+5+5+5+5+5+5+5+87.51+5+5+5+5+5+5+5+5+23.75+49.67+5+5+5+5+5+5+5+5+80+5+5+5+5+5+5+5+15+5+5+5+5+5+5+5+5+5+5+5+5+5+5+5+5+5+5+5+5+5+5+5+5+5+5+5+5+5+5+5+5+5+62.5+5+5+5+5+5+5+5+5+5+80+5+23.76+87.581+5+5+5+5+5+5</f>
        <v>1104.771</v>
      </c>
      <c r="U3" s="17" t="s">
        <v>20</v>
      </c>
      <c r="V3" s="27"/>
      <c r="W3" s="27"/>
      <c r="X3" s="27"/>
    </row>
    <row r="4" ht="14.25" customHeight="1">
      <c r="A4" s="51">
        <v>45717.0</v>
      </c>
      <c r="B4" s="52"/>
      <c r="C4" s="53"/>
      <c r="D4" s="53"/>
      <c r="E4" s="53">
        <f>20880+2919.74+529.72</f>
        <v>24329.46</v>
      </c>
      <c r="F4" s="27"/>
      <c r="G4" s="53"/>
      <c r="H4" s="53"/>
      <c r="I4" s="53"/>
      <c r="J4" s="53"/>
      <c r="K4" s="53"/>
      <c r="L4" s="61"/>
      <c r="M4" s="53"/>
      <c r="N4" s="53"/>
      <c r="O4" s="53"/>
      <c r="P4" s="53"/>
      <c r="Q4" s="53"/>
      <c r="R4" s="53"/>
      <c r="S4" s="53"/>
      <c r="T4" s="27">
        <f>10176.71</f>
        <v>10176.71</v>
      </c>
      <c r="U4" s="21" t="s">
        <v>65</v>
      </c>
      <c r="V4" s="27"/>
      <c r="W4" s="27"/>
      <c r="X4" s="27"/>
    </row>
    <row r="5" ht="14.25" customHeight="1">
      <c r="A5" s="51">
        <v>45718.0</v>
      </c>
      <c r="B5" s="52"/>
      <c r="C5" s="53"/>
      <c r="D5" s="53"/>
      <c r="E5" s="53">
        <f>4.5</f>
        <v>4.5</v>
      </c>
      <c r="F5" s="27"/>
      <c r="G5" s="53"/>
      <c r="H5" s="53"/>
      <c r="I5" s="53"/>
      <c r="J5" s="53"/>
      <c r="K5" s="53"/>
      <c r="L5" s="61"/>
      <c r="M5" s="53"/>
      <c r="N5" s="53"/>
      <c r="O5" s="53"/>
      <c r="P5" s="53"/>
      <c r="Q5" s="53"/>
      <c r="R5" s="53"/>
      <c r="S5" s="53"/>
      <c r="T5" s="27"/>
      <c r="U5" s="17"/>
      <c r="V5" s="27"/>
      <c r="W5" s="27"/>
      <c r="X5" s="27"/>
    </row>
    <row r="6" ht="14.25" customHeight="1">
      <c r="A6" s="62">
        <v>45718.0</v>
      </c>
      <c r="B6" s="52"/>
      <c r="C6" s="53"/>
      <c r="D6" s="53"/>
      <c r="E6" s="53">
        <f>2919.74+1885.99+1658.43</f>
        <v>6464.16</v>
      </c>
      <c r="F6" s="27"/>
      <c r="G6" s="53"/>
      <c r="H6" s="53"/>
      <c r="I6" s="53"/>
      <c r="J6" s="53"/>
      <c r="K6" s="53"/>
      <c r="L6" s="61"/>
      <c r="M6" s="53"/>
      <c r="N6" s="53"/>
      <c r="O6" s="53"/>
      <c r="P6" s="53"/>
      <c r="Q6" s="53"/>
      <c r="R6" s="53"/>
      <c r="S6" s="53"/>
      <c r="T6" s="27"/>
      <c r="U6" s="17"/>
      <c r="V6" s="27"/>
      <c r="W6" s="27"/>
      <c r="X6" s="27"/>
    </row>
    <row r="7" ht="14.25" customHeight="1">
      <c r="A7" s="62">
        <v>45719.0</v>
      </c>
      <c r="B7" s="63" t="s">
        <v>48</v>
      </c>
      <c r="C7" s="55">
        <v>18279.9</v>
      </c>
      <c r="D7" s="53"/>
      <c r="E7" s="53">
        <f>199.5+500+0.5</f>
        <v>700</v>
      </c>
      <c r="F7" s="27"/>
      <c r="G7" s="53"/>
      <c r="H7" s="53"/>
      <c r="I7" s="53"/>
      <c r="J7" s="53"/>
      <c r="K7" s="53"/>
      <c r="L7" s="61"/>
      <c r="M7" s="53"/>
      <c r="N7" s="53">
        <f>5571.22+20056.39+3000+85796.8+4500+39916.8</f>
        <v>158841.21</v>
      </c>
      <c r="O7" s="53"/>
      <c r="P7" s="53"/>
      <c r="Q7" s="53"/>
      <c r="R7" s="53"/>
      <c r="S7" s="53"/>
      <c r="T7" s="27">
        <f>93.5</f>
        <v>93.5</v>
      </c>
      <c r="U7" s="22" t="s">
        <v>66</v>
      </c>
      <c r="V7" s="27"/>
      <c r="W7" s="27"/>
      <c r="X7" s="27"/>
    </row>
    <row r="8" ht="14.25" customHeight="1">
      <c r="A8" s="51">
        <v>45719.0</v>
      </c>
      <c r="B8" s="52"/>
      <c r="C8" s="53"/>
      <c r="D8" s="53"/>
      <c r="E8" s="53">
        <f>2174.47+215.57</f>
        <v>2390.04</v>
      </c>
      <c r="F8" s="27"/>
      <c r="G8" s="53"/>
      <c r="H8" s="53"/>
      <c r="I8" s="53"/>
      <c r="J8" s="53"/>
      <c r="K8" s="53"/>
      <c r="L8" s="61"/>
      <c r="M8" s="53"/>
      <c r="N8" s="53"/>
      <c r="O8" s="53"/>
      <c r="P8" s="53"/>
      <c r="Q8" s="53"/>
      <c r="R8" s="53"/>
      <c r="S8" s="53"/>
      <c r="T8" s="27">
        <f>2429.17</f>
        <v>2429.17</v>
      </c>
      <c r="U8" s="17" t="s">
        <v>67</v>
      </c>
      <c r="V8" s="27"/>
      <c r="W8" s="27"/>
      <c r="X8" s="27"/>
    </row>
    <row r="9" ht="14.25" customHeight="1">
      <c r="A9" s="51">
        <v>45720.0</v>
      </c>
      <c r="B9" s="56"/>
      <c r="C9" s="53"/>
      <c r="D9" s="53"/>
      <c r="E9" s="53">
        <f>100+0.5+18+1962.29</f>
        <v>2080.79</v>
      </c>
      <c r="F9" s="27"/>
      <c r="G9" s="53"/>
      <c r="H9" s="53"/>
      <c r="I9" s="53"/>
      <c r="J9" s="53"/>
      <c r="K9" s="53"/>
      <c r="L9" s="61"/>
      <c r="M9" s="53"/>
      <c r="N9" s="55">
        <v>2930.0</v>
      </c>
      <c r="O9" s="53"/>
      <c r="P9" s="53"/>
      <c r="Q9" s="53"/>
      <c r="R9" s="53"/>
      <c r="S9" s="53"/>
      <c r="T9" s="27"/>
      <c r="U9" s="22"/>
      <c r="V9" s="27"/>
      <c r="W9" s="27"/>
      <c r="X9" s="27"/>
    </row>
    <row r="10" ht="14.25" customHeight="1">
      <c r="A10" s="51">
        <v>45720.0</v>
      </c>
      <c r="B10" s="56"/>
      <c r="C10" s="12"/>
      <c r="D10" s="53"/>
      <c r="E10" s="53">
        <f>101980</f>
        <v>101980</v>
      </c>
      <c r="F10" s="27"/>
      <c r="G10" s="53"/>
      <c r="H10" s="53"/>
      <c r="I10" s="53">
        <f>4595</f>
        <v>4595</v>
      </c>
      <c r="J10" s="53"/>
      <c r="K10" s="53"/>
      <c r="L10" s="61"/>
      <c r="M10" s="53"/>
      <c r="N10" s="53"/>
      <c r="O10" s="53"/>
      <c r="P10" s="53"/>
      <c r="Q10" s="53"/>
      <c r="R10" s="53"/>
      <c r="S10" s="53"/>
      <c r="T10" s="27">
        <f>13501.95+22030.18+2971.72+6502.65+17093.49+50003.8+6502.65+15003.45+18233.6+6502.65+17502.1+15003.45+17502.1+17502.1+17502.1+15003.45+4750.9+9933+6502.65+13501.95+25001.9+16000.6+50003.8+371.47+16770.6+408.61+17130.63+17502.1+4750.9+16000.6+47378.25+4000</f>
        <v>508369.4</v>
      </c>
      <c r="U10" s="17" t="s">
        <v>28</v>
      </c>
      <c r="V10" s="27"/>
      <c r="W10" s="27"/>
      <c r="X10" s="27"/>
    </row>
    <row r="11" ht="14.25" customHeight="1">
      <c r="A11" s="51">
        <v>45721.0</v>
      </c>
      <c r="B11" s="64"/>
      <c r="C11" s="53"/>
      <c r="D11" s="53"/>
      <c r="E11" s="53">
        <f>0.5+999.5+10000</f>
        <v>11000</v>
      </c>
      <c r="F11" s="27"/>
      <c r="G11" s="53"/>
      <c r="H11" s="53"/>
      <c r="I11" s="53"/>
      <c r="J11" s="53"/>
      <c r="K11" s="53"/>
      <c r="L11" s="61">
        <f>83514+66486</f>
        <v>150000</v>
      </c>
      <c r="M11" s="53"/>
      <c r="N11" s="53"/>
      <c r="O11" s="53"/>
      <c r="P11" s="53"/>
      <c r="Q11" s="53"/>
      <c r="R11" s="53"/>
      <c r="S11" s="53"/>
      <c r="T11" s="27">
        <f>2380+1294+756</f>
        <v>4430</v>
      </c>
      <c r="U11" s="17" t="s">
        <v>68</v>
      </c>
      <c r="V11" s="27"/>
      <c r="W11" s="27"/>
      <c r="X11" s="27"/>
    </row>
    <row r="12" ht="14.25" customHeight="1">
      <c r="A12" s="51">
        <v>45721.0</v>
      </c>
      <c r="B12" s="15"/>
      <c r="C12" s="53"/>
      <c r="D12" s="53"/>
      <c r="E12" s="53">
        <f>3256</f>
        <v>3256</v>
      </c>
      <c r="F12" s="27"/>
      <c r="G12" s="53"/>
      <c r="H12" s="53"/>
      <c r="I12" s="53"/>
      <c r="J12" s="53"/>
      <c r="K12" s="53"/>
      <c r="L12" s="61"/>
      <c r="M12" s="53"/>
      <c r="N12" s="53"/>
      <c r="O12" s="53"/>
      <c r="P12" s="53"/>
      <c r="Q12" s="53"/>
      <c r="R12" s="53"/>
      <c r="S12" s="53"/>
      <c r="T12" s="27">
        <f>219.5+5209.6+4262.4+1184+21056.2+4785.5+17227.8+37055.7+10293.25+45290.3+5025.63+22112.77+965.81+41324.39+24.12+86.84+11479</f>
        <v>227602.81</v>
      </c>
      <c r="U12" s="17" t="s">
        <v>29</v>
      </c>
      <c r="V12" s="27"/>
      <c r="W12" s="27"/>
      <c r="X12" s="27"/>
    </row>
    <row r="13" ht="14.25" customHeight="1">
      <c r="A13" s="51">
        <v>45722.0</v>
      </c>
      <c r="B13" s="15"/>
      <c r="C13" s="12"/>
      <c r="D13" s="53"/>
      <c r="E13" s="53">
        <f>9.5</f>
        <v>9.5</v>
      </c>
      <c r="F13" s="27"/>
      <c r="G13" s="53"/>
      <c r="H13" s="53"/>
      <c r="I13" s="53"/>
      <c r="J13" s="53"/>
      <c r="K13" s="53"/>
      <c r="L13" s="61"/>
      <c r="M13" s="53"/>
      <c r="N13" s="53"/>
      <c r="O13" s="53"/>
      <c r="P13" s="53"/>
      <c r="Q13" s="53"/>
      <c r="R13" s="53"/>
      <c r="S13" s="53"/>
      <c r="T13" s="27">
        <f>770+770</f>
        <v>1540</v>
      </c>
      <c r="U13" s="27" t="s">
        <v>69</v>
      </c>
      <c r="V13" s="27"/>
      <c r="W13" s="27"/>
      <c r="X13" s="27"/>
    </row>
    <row r="14" ht="14.25" customHeight="1">
      <c r="A14" s="51">
        <v>45722.0</v>
      </c>
      <c r="B14" s="52"/>
      <c r="C14" s="53"/>
      <c r="D14" s="53"/>
      <c r="E14" s="53">
        <f>1895.06+1559.57</f>
        <v>3454.63</v>
      </c>
      <c r="F14" s="27"/>
      <c r="G14" s="53"/>
      <c r="H14" s="53"/>
      <c r="I14" s="53"/>
      <c r="J14" s="53"/>
      <c r="K14" s="53"/>
      <c r="L14" s="61"/>
      <c r="M14" s="53"/>
      <c r="N14" s="53"/>
      <c r="O14" s="53"/>
      <c r="P14" s="53"/>
      <c r="Q14" s="53"/>
      <c r="R14" s="53"/>
      <c r="S14" s="53"/>
      <c r="T14" s="27">
        <f>46000</f>
        <v>46000</v>
      </c>
      <c r="U14" s="17" t="s">
        <v>70</v>
      </c>
      <c r="V14" s="27"/>
      <c r="W14" s="27"/>
      <c r="X14" s="27"/>
    </row>
    <row r="15" ht="14.25" customHeight="1">
      <c r="A15" s="51">
        <v>45723.0</v>
      </c>
      <c r="B15" s="52"/>
      <c r="C15" s="53"/>
      <c r="D15" s="53"/>
      <c r="E15" s="53">
        <f>10.5+1599.5</f>
        <v>1610</v>
      </c>
      <c r="F15" s="27"/>
      <c r="G15" s="53"/>
      <c r="H15" s="53"/>
      <c r="I15" s="53"/>
      <c r="J15" s="53"/>
      <c r="K15" s="53">
        <f>31893</f>
        <v>31893</v>
      </c>
      <c r="L15" s="61"/>
      <c r="M15" s="53"/>
      <c r="N15" s="53">
        <f>600+3507.55</f>
        <v>4107.55</v>
      </c>
      <c r="O15" s="53"/>
      <c r="P15" s="53"/>
      <c r="Q15" s="53"/>
      <c r="R15" s="53"/>
      <c r="S15" s="53"/>
      <c r="T15" s="27">
        <f>6000</f>
        <v>6000</v>
      </c>
      <c r="U15" s="17" t="s">
        <v>71</v>
      </c>
      <c r="V15" s="27"/>
      <c r="W15" s="27"/>
      <c r="X15" s="27"/>
    </row>
    <row r="16" ht="14.25" customHeight="1">
      <c r="A16" s="51">
        <v>45723.0</v>
      </c>
      <c r="B16" s="65"/>
      <c r="C16" s="53"/>
      <c r="D16" s="53"/>
      <c r="E16" s="53">
        <f>12345</f>
        <v>12345</v>
      </c>
      <c r="F16" s="27"/>
      <c r="G16" s="53"/>
      <c r="H16" s="53"/>
      <c r="I16" s="53"/>
      <c r="J16" s="53"/>
      <c r="K16" s="53"/>
      <c r="L16" s="61"/>
      <c r="M16" s="53"/>
      <c r="N16" s="53"/>
      <c r="O16" s="53"/>
      <c r="P16" s="53"/>
      <c r="Q16" s="53"/>
      <c r="R16" s="53"/>
      <c r="S16" s="53"/>
      <c r="T16" s="27">
        <f>1155</f>
        <v>1155</v>
      </c>
      <c r="U16" s="21" t="s">
        <v>72</v>
      </c>
      <c r="V16" s="27"/>
      <c r="W16" s="27"/>
      <c r="X16" s="27"/>
    </row>
    <row r="17" ht="14.25" customHeight="1">
      <c r="A17" s="51">
        <v>45724.0</v>
      </c>
      <c r="B17" s="65"/>
      <c r="C17" s="53"/>
      <c r="D17" s="53"/>
      <c r="E17" s="53">
        <f>100+9.5+10.5</f>
        <v>120</v>
      </c>
      <c r="F17" s="27"/>
      <c r="G17" s="53"/>
      <c r="H17" s="53"/>
      <c r="I17" s="53"/>
      <c r="J17" s="53"/>
      <c r="K17" s="53"/>
      <c r="L17" s="61"/>
      <c r="M17" s="53"/>
      <c r="N17" s="53"/>
      <c r="O17" s="53"/>
      <c r="P17" s="53"/>
      <c r="Q17" s="53"/>
      <c r="R17" s="53"/>
      <c r="S17" s="53"/>
      <c r="T17" s="27"/>
      <c r="U17" s="17"/>
      <c r="V17" s="27"/>
      <c r="W17" s="27"/>
      <c r="X17" s="27"/>
    </row>
    <row r="18" ht="14.25" customHeight="1">
      <c r="A18" s="51">
        <v>45724.0</v>
      </c>
      <c r="B18" s="56"/>
      <c r="C18" s="53"/>
      <c r="D18" s="53"/>
      <c r="E18" s="55">
        <v>12000.0</v>
      </c>
      <c r="F18" s="27"/>
      <c r="G18" s="53"/>
      <c r="H18" s="53"/>
      <c r="I18" s="53"/>
      <c r="J18" s="53"/>
      <c r="K18" s="53"/>
      <c r="L18" s="61"/>
      <c r="M18" s="53"/>
      <c r="N18" s="53"/>
      <c r="O18" s="53"/>
      <c r="P18" s="53"/>
      <c r="Q18" s="53"/>
      <c r="R18" s="53"/>
      <c r="S18" s="53"/>
      <c r="T18" s="27">
        <f>45000</f>
        <v>45000</v>
      </c>
      <c r="U18" s="17" t="s">
        <v>73</v>
      </c>
      <c r="V18" s="27"/>
      <c r="W18" s="27"/>
      <c r="X18" s="27"/>
    </row>
    <row r="19" ht="14.25" customHeight="1">
      <c r="A19" s="51">
        <v>45725.0</v>
      </c>
      <c r="B19" s="52"/>
      <c r="C19" s="53"/>
      <c r="D19" s="53"/>
      <c r="E19" s="53">
        <f>100+0.5+99.5</f>
        <v>200</v>
      </c>
      <c r="F19" s="27"/>
      <c r="G19" s="53"/>
      <c r="H19" s="53"/>
      <c r="I19" s="53"/>
      <c r="J19" s="53"/>
      <c r="K19" s="53"/>
      <c r="L19" s="61"/>
      <c r="M19" s="53"/>
      <c r="N19" s="53"/>
      <c r="O19" s="53"/>
      <c r="P19" s="53"/>
      <c r="Q19" s="53"/>
      <c r="R19" s="53"/>
      <c r="S19" s="53"/>
      <c r="T19" s="27">
        <f>1619+1619</f>
        <v>3238</v>
      </c>
      <c r="U19" s="28" t="s">
        <v>74</v>
      </c>
      <c r="V19" s="27"/>
      <c r="W19" s="27"/>
      <c r="X19" s="27"/>
    </row>
    <row r="20" ht="14.25" customHeight="1">
      <c r="A20" s="51">
        <v>45725.0</v>
      </c>
      <c r="B20" s="65"/>
      <c r="C20" s="53"/>
      <c r="D20" s="53"/>
      <c r="E20" s="53">
        <f>1235+41</f>
        <v>1276</v>
      </c>
      <c r="F20" s="27"/>
      <c r="G20" s="53"/>
      <c r="H20" s="53"/>
      <c r="I20" s="53"/>
      <c r="J20" s="53"/>
      <c r="K20" s="53"/>
      <c r="L20" s="61"/>
      <c r="M20" s="53"/>
      <c r="N20" s="53"/>
      <c r="O20" s="53"/>
      <c r="P20" s="53"/>
      <c r="Q20" s="53"/>
      <c r="R20" s="53"/>
      <c r="S20" s="53"/>
      <c r="T20" s="27">
        <f>4200</f>
        <v>4200</v>
      </c>
      <c r="U20" s="28" t="s">
        <v>75</v>
      </c>
      <c r="V20" s="27"/>
      <c r="W20" s="27"/>
      <c r="X20" s="27"/>
    </row>
    <row r="21" ht="14.25" customHeight="1">
      <c r="A21" s="51">
        <v>45726.0</v>
      </c>
      <c r="B21" s="65"/>
      <c r="C21" s="53"/>
      <c r="D21" s="53"/>
      <c r="E21" s="53">
        <f>9.5+500</f>
        <v>509.5</v>
      </c>
      <c r="F21" s="27"/>
      <c r="G21" s="53"/>
      <c r="H21" s="53"/>
      <c r="I21" s="53">
        <f>270820</f>
        <v>270820</v>
      </c>
      <c r="J21" s="53"/>
      <c r="K21" s="53"/>
      <c r="L21" s="61"/>
      <c r="M21" s="53"/>
      <c r="N21" s="53">
        <f>6904.8+17100</f>
        <v>24004.8</v>
      </c>
      <c r="O21" s="53"/>
      <c r="P21" s="53"/>
      <c r="Q21" s="53"/>
      <c r="R21" s="53"/>
      <c r="S21" s="53"/>
      <c r="T21" s="27">
        <f>6400</f>
        <v>6400</v>
      </c>
      <c r="U21" s="28" t="s">
        <v>76</v>
      </c>
      <c r="V21" s="27"/>
      <c r="W21" s="27"/>
      <c r="X21" s="27"/>
    </row>
    <row r="22" ht="14.25" customHeight="1">
      <c r="A22" s="51">
        <v>45726.0</v>
      </c>
      <c r="B22" s="52"/>
      <c r="C22" s="53"/>
      <c r="D22" s="53"/>
      <c r="E22" s="53">
        <f>908</f>
        <v>908</v>
      </c>
      <c r="F22" s="27"/>
      <c r="G22" s="53"/>
      <c r="H22" s="53"/>
      <c r="I22" s="53"/>
      <c r="J22" s="53"/>
      <c r="K22" s="53"/>
      <c r="L22" s="61"/>
      <c r="M22" s="53"/>
      <c r="N22" s="53">
        <f>1024.82</f>
        <v>1024.82</v>
      </c>
      <c r="O22" s="53"/>
      <c r="P22" s="53"/>
      <c r="Q22" s="53"/>
      <c r="R22" s="53"/>
      <c r="S22" s="53"/>
      <c r="T22" s="27">
        <f>9600</f>
        <v>9600</v>
      </c>
      <c r="U22" s="22" t="s">
        <v>77</v>
      </c>
      <c r="V22" s="27"/>
      <c r="W22" s="27"/>
      <c r="X22" s="27"/>
    </row>
    <row r="23" ht="14.25" customHeight="1">
      <c r="A23" s="51">
        <v>45727.0</v>
      </c>
      <c r="B23" s="52"/>
      <c r="C23" s="53"/>
      <c r="D23" s="53"/>
      <c r="E23" s="53">
        <f>32156</f>
        <v>32156</v>
      </c>
      <c r="F23" s="27"/>
      <c r="G23" s="53"/>
      <c r="H23" s="53"/>
      <c r="I23" s="53">
        <f>122158</f>
        <v>122158</v>
      </c>
      <c r="J23" s="53"/>
      <c r="K23" s="53">
        <f>21440+5410</f>
        <v>26850</v>
      </c>
      <c r="L23" s="61"/>
      <c r="M23" s="53"/>
      <c r="N23" s="53"/>
      <c r="O23" s="53"/>
      <c r="P23" s="53"/>
      <c r="Q23" s="53"/>
      <c r="R23" s="53"/>
      <c r="S23" s="53"/>
      <c r="T23" s="27">
        <f>10138.77</f>
        <v>10138.77</v>
      </c>
      <c r="U23" s="66" t="s">
        <v>78</v>
      </c>
      <c r="V23" s="27"/>
      <c r="W23" s="27"/>
      <c r="X23" s="27"/>
    </row>
    <row r="24" ht="14.25" customHeight="1">
      <c r="A24" s="51">
        <v>45727.0</v>
      </c>
      <c r="B24" s="52"/>
      <c r="C24" s="53"/>
      <c r="D24" s="53"/>
      <c r="E24" s="53">
        <f>1256</f>
        <v>1256</v>
      </c>
      <c r="F24" s="27"/>
      <c r="G24" s="53"/>
      <c r="H24" s="53"/>
      <c r="I24" s="53"/>
      <c r="J24" s="53"/>
      <c r="K24" s="53">
        <f>22050+16500+20430+18810+18780</f>
        <v>96570</v>
      </c>
      <c r="L24" s="61"/>
      <c r="M24" s="53"/>
      <c r="N24" s="53">
        <f>3100</f>
        <v>3100</v>
      </c>
      <c r="O24" s="53"/>
      <c r="P24" s="53"/>
      <c r="Q24" s="53"/>
      <c r="R24" s="53"/>
      <c r="S24" s="53"/>
      <c r="T24" s="27"/>
      <c r="U24" s="17"/>
      <c r="V24" s="27"/>
      <c r="W24" s="27"/>
      <c r="X24" s="27"/>
    </row>
    <row r="25" ht="14.25" customHeight="1">
      <c r="A25" s="51">
        <v>45728.0</v>
      </c>
      <c r="B25" s="52"/>
      <c r="C25" s="53"/>
      <c r="D25" s="53"/>
      <c r="E25" s="53">
        <f>0.5</f>
        <v>0.5</v>
      </c>
      <c r="F25" s="27"/>
      <c r="G25" s="53"/>
      <c r="H25" s="53"/>
      <c r="I25" s="53">
        <f>4880+48079+57300</f>
        <v>110259</v>
      </c>
      <c r="J25" s="53"/>
      <c r="K25" s="53"/>
      <c r="L25" s="61"/>
      <c r="M25" s="53"/>
      <c r="N25" s="53">
        <f>1615+795.02+570</f>
        <v>2980.02</v>
      </c>
      <c r="O25" s="53"/>
      <c r="P25" s="53"/>
      <c r="Q25" s="53"/>
      <c r="R25" s="53"/>
      <c r="S25" s="53"/>
      <c r="T25" s="27">
        <f>1455+3630</f>
        <v>5085</v>
      </c>
      <c r="U25" s="10" t="s">
        <v>79</v>
      </c>
      <c r="V25" s="27"/>
      <c r="W25" s="27"/>
      <c r="X25" s="27"/>
    </row>
    <row r="26" ht="14.25" customHeight="1">
      <c r="A26" s="51">
        <v>45728.0</v>
      </c>
      <c r="B26" s="52"/>
      <c r="C26" s="53"/>
      <c r="D26" s="53"/>
      <c r="E26" s="53">
        <f>12548+32157</f>
        <v>44705</v>
      </c>
      <c r="F26" s="27"/>
      <c r="G26" s="53"/>
      <c r="H26" s="53"/>
      <c r="I26" s="53"/>
      <c r="J26" s="53"/>
      <c r="K26" s="53"/>
      <c r="L26" s="61"/>
      <c r="M26" s="53"/>
      <c r="N26" s="53"/>
      <c r="O26" s="53"/>
      <c r="P26" s="53"/>
      <c r="Q26" s="53"/>
      <c r="R26" s="53"/>
      <c r="S26" s="53"/>
      <c r="T26" s="26">
        <v>12000.0</v>
      </c>
      <c r="U26" s="33" t="s">
        <v>80</v>
      </c>
      <c r="V26" s="27"/>
      <c r="W26" s="27"/>
      <c r="X26" s="27"/>
    </row>
    <row r="27" ht="14.25" customHeight="1">
      <c r="A27" s="51">
        <v>45729.0</v>
      </c>
      <c r="B27" s="52"/>
      <c r="C27" s="53"/>
      <c r="D27" s="53"/>
      <c r="E27" s="53">
        <f>100+9.5+149.5</f>
        <v>259</v>
      </c>
      <c r="F27" s="27"/>
      <c r="G27" s="53"/>
      <c r="H27" s="53"/>
      <c r="I27" s="53"/>
      <c r="J27" s="53"/>
      <c r="K27" s="53"/>
      <c r="L27" s="61"/>
      <c r="M27" s="65"/>
      <c r="N27" s="53"/>
      <c r="O27" s="53"/>
      <c r="P27" s="53"/>
      <c r="Q27" s="53"/>
      <c r="R27" s="53"/>
      <c r="S27" s="53"/>
      <c r="T27" s="27"/>
      <c r="U27" s="10"/>
      <c r="V27" s="27"/>
      <c r="W27" s="27"/>
      <c r="X27" s="27"/>
    </row>
    <row r="28" ht="14.25" customHeight="1">
      <c r="A28" s="51">
        <v>45729.0</v>
      </c>
      <c r="B28" s="52"/>
      <c r="C28" s="53"/>
      <c r="D28" s="53"/>
      <c r="E28" s="53">
        <f>32569</f>
        <v>32569</v>
      </c>
      <c r="F28" s="27"/>
      <c r="G28" s="53"/>
      <c r="H28" s="53"/>
      <c r="I28" s="53"/>
      <c r="J28" s="53"/>
      <c r="K28" s="53"/>
      <c r="L28" s="61"/>
      <c r="M28" s="53"/>
      <c r="N28" s="53"/>
      <c r="O28" s="53"/>
      <c r="P28" s="53"/>
      <c r="Q28" s="53"/>
      <c r="R28" s="53"/>
      <c r="S28" s="53"/>
      <c r="T28" s="27">
        <f>4800+44200+83000+76000+54800+65400+15200+16800+41602+16780+6000+5300+15200+16780+86200</f>
        <v>548062</v>
      </c>
      <c r="U28" s="21" t="s">
        <v>25</v>
      </c>
      <c r="V28" s="27"/>
      <c r="W28" s="27"/>
      <c r="X28" s="27"/>
    </row>
    <row r="29" ht="14.25" customHeight="1">
      <c r="A29" s="51">
        <v>45730.0</v>
      </c>
      <c r="B29" s="52"/>
      <c r="C29" s="53"/>
      <c r="D29" s="53"/>
      <c r="E29" s="53">
        <f>24.5+49.5+2000+2000</f>
        <v>4074</v>
      </c>
      <c r="F29" s="27"/>
      <c r="G29" s="53"/>
      <c r="H29" s="53"/>
      <c r="I29" s="53"/>
      <c r="J29" s="53"/>
      <c r="K29" s="53">
        <f>23160+30600</f>
        <v>53760</v>
      </c>
      <c r="L29" s="61"/>
      <c r="M29" s="53"/>
      <c r="N29" s="53">
        <f>3461</f>
        <v>3461</v>
      </c>
      <c r="O29" s="53"/>
      <c r="P29" s="53"/>
      <c r="Q29" s="53"/>
      <c r="R29" s="53"/>
      <c r="S29" s="53"/>
      <c r="T29" s="27">
        <f>720</f>
        <v>720</v>
      </c>
      <c r="U29" s="10" t="s">
        <v>81</v>
      </c>
      <c r="V29" s="27"/>
      <c r="W29" s="27"/>
      <c r="X29" s="27"/>
    </row>
    <row r="30" ht="14.25" customHeight="1">
      <c r="A30" s="51">
        <v>45730.0</v>
      </c>
      <c r="B30" s="65"/>
      <c r="C30" s="53"/>
      <c r="D30" s="53"/>
      <c r="E30" s="53">
        <f>4563+3210+45698</f>
        <v>53471</v>
      </c>
      <c r="F30" s="27"/>
      <c r="G30" s="53"/>
      <c r="H30" s="53"/>
      <c r="I30" s="53"/>
      <c r="J30" s="53"/>
      <c r="K30" s="53"/>
      <c r="L30" s="61"/>
      <c r="M30" s="53"/>
      <c r="N30" s="53"/>
      <c r="O30" s="53"/>
      <c r="P30" s="53"/>
      <c r="Q30" s="53"/>
      <c r="R30" s="53"/>
      <c r="S30" s="53"/>
      <c r="T30" s="27"/>
      <c r="U30" s="10"/>
      <c r="V30" s="27"/>
      <c r="W30" s="27"/>
      <c r="X30" s="27"/>
    </row>
    <row r="31" ht="14.25" customHeight="1">
      <c r="A31" s="51">
        <v>45731.0</v>
      </c>
      <c r="B31" s="52"/>
      <c r="C31" s="53"/>
      <c r="D31" s="53"/>
      <c r="E31" s="53">
        <f>0.5+9.5+199.5</f>
        <v>209.5</v>
      </c>
      <c r="F31" s="27"/>
      <c r="G31" s="53"/>
      <c r="H31" s="53"/>
      <c r="I31" s="53"/>
      <c r="J31" s="53"/>
      <c r="K31" s="53"/>
      <c r="L31" s="61"/>
      <c r="M31" s="53"/>
      <c r="N31" s="53"/>
      <c r="O31" s="53"/>
      <c r="P31" s="53"/>
      <c r="Q31" s="53"/>
      <c r="R31" s="53"/>
      <c r="S31" s="53"/>
      <c r="T31" s="67">
        <f>1305+1230+1230+1833.1</f>
        <v>5598.1</v>
      </c>
      <c r="U31" s="21" t="s">
        <v>21</v>
      </c>
      <c r="V31" s="27"/>
      <c r="W31" s="27"/>
      <c r="X31" s="27"/>
    </row>
    <row r="32" ht="14.25" customHeight="1">
      <c r="A32" s="51">
        <v>45731.0</v>
      </c>
      <c r="B32" s="53"/>
      <c r="C32" s="53"/>
      <c r="D32" s="53"/>
      <c r="E32" s="53">
        <f>325+6529+6549</f>
        <v>13403</v>
      </c>
      <c r="F32" s="27"/>
      <c r="G32" s="53"/>
      <c r="H32" s="53"/>
      <c r="I32" s="53"/>
      <c r="J32" s="53"/>
      <c r="K32" s="53"/>
      <c r="L32" s="61"/>
      <c r="M32" s="53"/>
      <c r="N32" s="53"/>
      <c r="O32" s="53"/>
      <c r="P32" s="53"/>
      <c r="Q32" s="53"/>
      <c r="R32" s="53"/>
      <c r="S32" s="53"/>
      <c r="T32" s="27">
        <f>29689.79</f>
        <v>29689.79</v>
      </c>
      <c r="U32" s="33" t="s">
        <v>82</v>
      </c>
      <c r="V32" s="27"/>
      <c r="W32" s="27"/>
      <c r="X32" s="27"/>
    </row>
    <row r="33" ht="14.25" customHeight="1">
      <c r="A33" s="51">
        <v>45732.0</v>
      </c>
      <c r="B33" s="64"/>
      <c r="C33" s="53"/>
      <c r="D33" s="53"/>
      <c r="E33" s="53">
        <f>9.5+9.5</f>
        <v>19</v>
      </c>
      <c r="F33" s="27"/>
      <c r="G33" s="53"/>
      <c r="H33" s="53"/>
      <c r="I33" s="53"/>
      <c r="J33" s="53"/>
      <c r="K33" s="53"/>
      <c r="L33" s="61"/>
      <c r="M33" s="53"/>
      <c r="N33" s="53"/>
      <c r="O33" s="53"/>
      <c r="P33" s="53"/>
      <c r="Q33" s="53"/>
      <c r="R33" s="53"/>
      <c r="S33" s="53"/>
      <c r="T33" s="27">
        <f>11973</f>
        <v>11973</v>
      </c>
      <c r="U33" s="28" t="s">
        <v>83</v>
      </c>
      <c r="V33" s="27"/>
      <c r="W33" s="27"/>
      <c r="X33" s="27"/>
    </row>
    <row r="34" ht="14.25" customHeight="1">
      <c r="A34" s="51">
        <v>45732.0</v>
      </c>
      <c r="B34" s="68"/>
      <c r="C34" s="53"/>
      <c r="D34" s="53"/>
      <c r="E34" s="53">
        <f>5234+6598+4568+789+41256</f>
        <v>58445</v>
      </c>
      <c r="F34" s="27"/>
      <c r="G34" s="53"/>
      <c r="H34" s="53"/>
      <c r="I34" s="53"/>
      <c r="J34" s="53"/>
      <c r="K34" s="53"/>
      <c r="L34" s="61"/>
      <c r="M34" s="53"/>
      <c r="N34" s="53"/>
      <c r="O34" s="53"/>
      <c r="P34" s="53"/>
      <c r="Q34" s="53"/>
      <c r="R34" s="53"/>
      <c r="S34" s="53"/>
      <c r="T34" s="27">
        <f>3830.51</f>
        <v>3830.51</v>
      </c>
      <c r="U34" s="21" t="s">
        <v>84</v>
      </c>
      <c r="V34" s="27"/>
      <c r="W34" s="27"/>
      <c r="X34" s="27"/>
    </row>
    <row r="35" ht="15.0" customHeight="1">
      <c r="A35" s="51">
        <v>45733.0</v>
      </c>
      <c r="B35" s="64"/>
      <c r="C35" s="53"/>
      <c r="D35" s="53"/>
      <c r="E35" s="53">
        <f>70+100</f>
        <v>170</v>
      </c>
      <c r="F35" s="27"/>
      <c r="G35" s="53"/>
      <c r="H35" s="53"/>
      <c r="I35" s="53"/>
      <c r="J35" s="53"/>
      <c r="K35" s="53"/>
      <c r="L35" s="61"/>
      <c r="M35" s="53"/>
      <c r="N35" s="53"/>
      <c r="O35" s="53"/>
      <c r="P35" s="53"/>
      <c r="Q35" s="53"/>
      <c r="R35" s="53"/>
      <c r="S35" s="53"/>
      <c r="T35" s="27">
        <f>12100</f>
        <v>12100</v>
      </c>
      <c r="U35" s="10" t="s">
        <v>85</v>
      </c>
      <c r="V35" s="27"/>
      <c r="W35" s="27"/>
      <c r="X35" s="27"/>
    </row>
    <row r="36" ht="15.75" customHeight="1">
      <c r="A36" s="51">
        <v>45733.0</v>
      </c>
      <c r="B36" s="68"/>
      <c r="C36" s="53"/>
      <c r="D36" s="53"/>
      <c r="E36" s="55">
        <f>52168+6259</f>
        <v>58427</v>
      </c>
      <c r="F36" s="27"/>
      <c r="G36" s="53"/>
      <c r="H36" s="53"/>
      <c r="I36" s="53"/>
      <c r="J36" s="53"/>
      <c r="K36" s="53"/>
      <c r="L36" s="61"/>
      <c r="M36" s="53"/>
      <c r="N36" s="53"/>
      <c r="O36" s="53"/>
      <c r="P36" s="53"/>
      <c r="Q36" s="53"/>
      <c r="R36" s="53"/>
      <c r="S36" s="53"/>
      <c r="T36" s="27"/>
      <c r="U36" s="10"/>
      <c r="V36" s="27"/>
      <c r="W36" s="27"/>
      <c r="X36" s="27"/>
    </row>
    <row r="37" ht="14.25" customHeight="1">
      <c r="A37" s="51">
        <v>45734.0</v>
      </c>
      <c r="B37" s="52"/>
      <c r="C37" s="53"/>
      <c r="D37" s="53"/>
      <c r="E37" s="53">
        <f>0.5+0.5+0.5</f>
        <v>1.5</v>
      </c>
      <c r="F37" s="27"/>
      <c r="G37" s="53"/>
      <c r="H37" s="53"/>
      <c r="I37" s="53"/>
      <c r="J37" s="53"/>
      <c r="K37" s="53"/>
      <c r="L37" s="61"/>
      <c r="M37" s="53"/>
      <c r="N37" s="53">
        <f>3569.1</f>
        <v>3569.1</v>
      </c>
      <c r="O37" s="53"/>
      <c r="P37" s="53"/>
      <c r="Q37" s="53">
        <f>50000</f>
        <v>50000</v>
      </c>
      <c r="R37" s="53"/>
      <c r="S37" s="53"/>
      <c r="T37" s="27"/>
      <c r="U37" s="10"/>
      <c r="V37" s="27"/>
      <c r="W37" s="27"/>
      <c r="X37" s="27"/>
    </row>
    <row r="38" ht="14.25" customHeight="1">
      <c r="A38" s="51">
        <v>45734.0</v>
      </c>
      <c r="B38" s="68"/>
      <c r="C38" s="53"/>
      <c r="D38" s="53"/>
      <c r="E38" s="53">
        <f>1235+2356+3651</f>
        <v>7242</v>
      </c>
      <c r="F38" s="27"/>
      <c r="G38" s="53"/>
      <c r="H38" s="53"/>
      <c r="I38" s="53"/>
      <c r="J38" s="53"/>
      <c r="K38" s="53"/>
      <c r="L38" s="61"/>
      <c r="M38" s="53"/>
      <c r="N38" s="53"/>
      <c r="O38" s="53"/>
      <c r="P38" s="53"/>
      <c r="Q38" s="53"/>
      <c r="R38" s="53"/>
      <c r="S38" s="53"/>
      <c r="T38" s="27"/>
      <c r="U38" s="21"/>
      <c r="V38" s="27"/>
      <c r="W38" s="27"/>
      <c r="X38" s="27"/>
    </row>
    <row r="39" ht="14.25" customHeight="1">
      <c r="A39" s="51">
        <v>45735.0</v>
      </c>
      <c r="B39" s="53"/>
      <c r="C39" s="53"/>
      <c r="D39" s="53"/>
      <c r="E39" s="53">
        <f>299.5</f>
        <v>299.5</v>
      </c>
      <c r="F39" s="27"/>
      <c r="G39" s="53"/>
      <c r="H39" s="53"/>
      <c r="I39" s="53"/>
      <c r="J39" s="53"/>
      <c r="K39" s="53"/>
      <c r="L39" s="61"/>
      <c r="M39" s="53"/>
      <c r="N39" s="53"/>
      <c r="O39" s="53"/>
      <c r="P39" s="53"/>
      <c r="Q39" s="53"/>
      <c r="R39" s="53"/>
      <c r="S39" s="53"/>
      <c r="T39" s="27"/>
      <c r="U39" s="10"/>
      <c r="V39" s="27"/>
      <c r="W39" s="27"/>
      <c r="X39" s="27"/>
    </row>
    <row r="40" ht="14.25" customHeight="1">
      <c r="A40" s="51">
        <v>45735.0</v>
      </c>
      <c r="B40" s="52"/>
      <c r="C40" s="53"/>
      <c r="D40" s="53"/>
      <c r="E40" s="53">
        <f>6534+5984+3215</f>
        <v>15733</v>
      </c>
      <c r="F40" s="27"/>
      <c r="G40" s="53"/>
      <c r="H40" s="53"/>
      <c r="I40" s="53"/>
      <c r="J40" s="53"/>
      <c r="K40" s="53"/>
      <c r="L40" s="61"/>
      <c r="M40" s="53"/>
      <c r="N40" s="53"/>
      <c r="O40" s="53"/>
      <c r="P40" s="53"/>
      <c r="Q40" s="53"/>
      <c r="R40" s="53"/>
      <c r="S40" s="53"/>
      <c r="T40" s="27"/>
      <c r="U40" s="10"/>
      <c r="V40" s="27"/>
      <c r="W40" s="27"/>
      <c r="X40" s="27"/>
    </row>
    <row r="41" ht="14.25" customHeight="1">
      <c r="A41" s="51">
        <v>45736.0</v>
      </c>
      <c r="B41" s="54" t="s">
        <v>86</v>
      </c>
      <c r="C41" s="31">
        <v>38150.0</v>
      </c>
      <c r="D41" s="53"/>
      <c r="E41" s="53">
        <f>100+299.5+4.5+400</f>
        <v>804</v>
      </c>
      <c r="F41" s="27"/>
      <c r="G41" s="53"/>
      <c r="H41" s="53"/>
      <c r="I41" s="53"/>
      <c r="J41" s="53"/>
      <c r="K41" s="53"/>
      <c r="L41" s="61"/>
      <c r="M41" s="53"/>
      <c r="N41" s="53">
        <f>756</f>
        <v>756</v>
      </c>
      <c r="O41" s="53"/>
      <c r="P41" s="53"/>
      <c r="Q41" s="53"/>
      <c r="R41" s="53"/>
      <c r="S41" s="53"/>
      <c r="T41" s="27">
        <f>15000</f>
        <v>15000</v>
      </c>
      <c r="U41" s="33" t="s">
        <v>87</v>
      </c>
      <c r="V41" s="27"/>
      <c r="W41" s="27"/>
      <c r="X41" s="27"/>
    </row>
    <row r="42" ht="14.25" customHeight="1">
      <c r="A42" s="51">
        <v>45736.0</v>
      </c>
      <c r="B42" s="53"/>
      <c r="C42" s="53"/>
      <c r="D42" s="53"/>
      <c r="E42" s="53">
        <f>5864+3585+65234</f>
        <v>74683</v>
      </c>
      <c r="F42" s="27"/>
      <c r="G42" s="53"/>
      <c r="H42" s="53"/>
      <c r="I42" s="53"/>
      <c r="J42" s="53"/>
      <c r="K42" s="53"/>
      <c r="L42" s="61"/>
      <c r="M42" s="53"/>
      <c r="N42" s="53">
        <f>19815.81</f>
        <v>19815.81</v>
      </c>
      <c r="O42" s="53"/>
      <c r="P42" s="53"/>
      <c r="Q42" s="53"/>
      <c r="R42" s="53"/>
      <c r="S42" s="53"/>
      <c r="T42" s="27">
        <f>363.22</f>
        <v>363.22</v>
      </c>
      <c r="U42" s="21" t="s">
        <v>88</v>
      </c>
      <c r="V42" s="27"/>
      <c r="W42" s="27"/>
      <c r="X42" s="27"/>
    </row>
    <row r="43" ht="14.25" customHeight="1">
      <c r="A43" s="51">
        <v>45737.0</v>
      </c>
      <c r="B43" s="69" t="s">
        <v>48</v>
      </c>
      <c r="C43" s="55">
        <v>7477.38</v>
      </c>
      <c r="D43" s="53"/>
      <c r="E43" s="53">
        <f>0.5+9.5</f>
        <v>10</v>
      </c>
      <c r="F43" s="27"/>
      <c r="G43" s="53"/>
      <c r="H43" s="53">
        <f>412500</f>
        <v>412500</v>
      </c>
      <c r="I43" s="53"/>
      <c r="J43" s="53"/>
      <c r="K43" s="53">
        <f>31500+24660+28500+138630</f>
        <v>223290</v>
      </c>
      <c r="L43" s="61"/>
      <c r="M43" s="53"/>
      <c r="N43" s="53"/>
      <c r="O43" s="53"/>
      <c r="P43" s="53"/>
      <c r="Q43" s="53"/>
      <c r="R43" s="53"/>
      <c r="S43" s="53"/>
      <c r="T43" s="27"/>
      <c r="U43" s="10"/>
      <c r="V43" s="27"/>
      <c r="W43" s="27"/>
      <c r="X43" s="27"/>
    </row>
    <row r="44" ht="14.25" customHeight="1">
      <c r="A44" s="51">
        <v>45737.0</v>
      </c>
      <c r="B44" s="70"/>
      <c r="C44" s="53"/>
      <c r="D44" s="53"/>
      <c r="E44" s="55">
        <f>6453.2+7645.3+3764</f>
        <v>17862.5</v>
      </c>
      <c r="F44" s="27"/>
      <c r="G44" s="53"/>
      <c r="H44" s="53"/>
      <c r="I44" s="53"/>
      <c r="J44" s="53"/>
      <c r="K44" s="53"/>
      <c r="L44" s="61"/>
      <c r="M44" s="53"/>
      <c r="N44" s="53"/>
      <c r="O44" s="53"/>
      <c r="P44" s="53"/>
      <c r="Q44" s="53"/>
      <c r="R44" s="53"/>
      <c r="S44" s="53"/>
      <c r="T44" s="27"/>
      <c r="U44" s="21"/>
      <c r="V44" s="27"/>
      <c r="W44" s="27"/>
      <c r="X44" s="27"/>
    </row>
    <row r="45" ht="14.25" customHeight="1">
      <c r="A45" s="51">
        <v>45738.0</v>
      </c>
      <c r="B45" s="53"/>
      <c r="C45" s="53"/>
      <c r="D45" s="53"/>
      <c r="E45" s="53">
        <f>100+0.5</f>
        <v>100.5</v>
      </c>
      <c r="F45" s="27"/>
      <c r="G45" s="53"/>
      <c r="H45" s="53"/>
      <c r="I45" s="53"/>
      <c r="J45" s="53"/>
      <c r="K45" s="53"/>
      <c r="L45" s="61"/>
      <c r="M45" s="53"/>
      <c r="N45" s="53"/>
      <c r="O45" s="53"/>
      <c r="P45" s="53"/>
      <c r="Q45" s="53"/>
      <c r="R45" s="53"/>
      <c r="S45" s="53"/>
      <c r="T45" s="27"/>
      <c r="U45" s="10"/>
      <c r="V45" s="27"/>
      <c r="W45" s="27"/>
      <c r="X45" s="27"/>
    </row>
    <row r="46" ht="14.25" customHeight="1">
      <c r="A46" s="51">
        <v>45738.0</v>
      </c>
      <c r="B46" s="53"/>
      <c r="C46" s="53"/>
      <c r="D46" s="53"/>
      <c r="E46" s="53">
        <f>5899+9589+3958</f>
        <v>19446</v>
      </c>
      <c r="F46" s="27"/>
      <c r="G46" s="53"/>
      <c r="H46" s="53"/>
      <c r="I46" s="53"/>
      <c r="J46" s="53"/>
      <c r="K46" s="53"/>
      <c r="L46" s="61"/>
      <c r="M46" s="53"/>
      <c r="N46" s="53"/>
      <c r="O46" s="53"/>
      <c r="P46" s="53"/>
      <c r="Q46" s="53"/>
      <c r="R46" s="53"/>
      <c r="S46" s="53"/>
      <c r="T46" s="27"/>
      <c r="U46" s="10"/>
      <c r="V46" s="27"/>
      <c r="W46" s="27"/>
      <c r="X46" s="27"/>
    </row>
    <row r="47" ht="14.25" customHeight="1">
      <c r="A47" s="51">
        <v>45739.0</v>
      </c>
      <c r="B47" s="53"/>
      <c r="C47" s="53"/>
      <c r="D47" s="53"/>
      <c r="E47" s="53">
        <f>9.5+1599.5</f>
        <v>1609</v>
      </c>
      <c r="F47" s="27"/>
      <c r="G47" s="53"/>
      <c r="H47" s="53"/>
      <c r="I47" s="53"/>
      <c r="J47" s="53"/>
      <c r="K47" s="53"/>
      <c r="L47" s="61"/>
      <c r="M47" s="53"/>
      <c r="N47" s="53"/>
      <c r="O47" s="53"/>
      <c r="P47" s="53"/>
      <c r="Q47" s="53"/>
      <c r="R47" s="53"/>
      <c r="S47" s="53"/>
      <c r="T47" s="27"/>
      <c r="U47" s="10"/>
      <c r="V47" s="27"/>
      <c r="W47" s="27"/>
      <c r="X47" s="27"/>
    </row>
    <row r="48" ht="14.25" customHeight="1">
      <c r="A48" s="51">
        <v>45739.0</v>
      </c>
      <c r="B48" s="11"/>
      <c r="C48" s="53"/>
      <c r="D48" s="53"/>
      <c r="E48" s="53">
        <f>10130+4101</f>
        <v>14231</v>
      </c>
      <c r="F48" s="27"/>
      <c r="G48" s="53"/>
      <c r="H48" s="53"/>
      <c r="I48" s="53"/>
      <c r="J48" s="53"/>
      <c r="K48" s="53"/>
      <c r="L48" s="61"/>
      <c r="M48" s="53"/>
      <c r="N48" s="53"/>
      <c r="O48" s="53"/>
      <c r="P48" s="53"/>
      <c r="Q48" s="53"/>
      <c r="R48" s="53"/>
      <c r="S48" s="53"/>
      <c r="T48" s="27"/>
      <c r="U48" s="10"/>
      <c r="V48" s="27"/>
      <c r="W48" s="27"/>
      <c r="X48" s="27"/>
    </row>
    <row r="49" ht="14.25" customHeight="1">
      <c r="A49" s="51">
        <v>45740.0</v>
      </c>
      <c r="B49" s="53"/>
      <c r="C49" s="53"/>
      <c r="D49" s="53"/>
      <c r="E49" s="53">
        <f>0.5+9.5+9.5+0.5</f>
        <v>20</v>
      </c>
      <c r="F49" s="27"/>
      <c r="G49" s="53"/>
      <c r="H49" s="53"/>
      <c r="I49" s="53"/>
      <c r="J49" s="53">
        <f>17506.65+656785.5</f>
        <v>674292.15</v>
      </c>
      <c r="K49" s="53"/>
      <c r="L49" s="61"/>
      <c r="M49" s="53"/>
      <c r="N49" s="53">
        <f>3000</f>
        <v>3000</v>
      </c>
      <c r="O49" s="53"/>
      <c r="P49" s="53"/>
      <c r="Q49" s="53"/>
      <c r="R49" s="53"/>
      <c r="S49" s="53"/>
      <c r="T49" s="27"/>
      <c r="U49" s="10"/>
      <c r="V49" s="27"/>
      <c r="W49" s="27"/>
      <c r="X49" s="27"/>
    </row>
    <row r="50" ht="14.25" customHeight="1">
      <c r="A50" s="51">
        <v>45740.0</v>
      </c>
      <c r="B50" s="53"/>
      <c r="C50" s="53"/>
      <c r="D50" s="53"/>
      <c r="E50" s="53">
        <f>5547.97+7554.8</f>
        <v>13102.77</v>
      </c>
      <c r="F50" s="27"/>
      <c r="G50" s="53"/>
      <c r="H50" s="53"/>
      <c r="I50" s="53"/>
      <c r="J50" s="53"/>
      <c r="K50" s="53"/>
      <c r="L50" s="61"/>
      <c r="M50" s="53"/>
      <c r="N50" s="53"/>
      <c r="O50" s="53"/>
      <c r="P50" s="53"/>
      <c r="Q50" s="53"/>
      <c r="R50" s="53"/>
      <c r="S50" s="53"/>
      <c r="T50" s="27"/>
      <c r="U50" s="10"/>
      <c r="V50" s="27"/>
      <c r="W50" s="27"/>
      <c r="X50" s="27"/>
    </row>
    <row r="51" ht="14.25" customHeight="1">
      <c r="A51" s="51">
        <v>45741.0</v>
      </c>
      <c r="B51" s="53"/>
      <c r="C51" s="53"/>
      <c r="D51" s="53"/>
      <c r="E51" s="53">
        <f>199.5+99.5+0.5+0.5</f>
        <v>300</v>
      </c>
      <c r="F51" s="27"/>
      <c r="G51" s="53"/>
      <c r="H51" s="53"/>
      <c r="I51" s="53"/>
      <c r="J51" s="53"/>
      <c r="K51" s="55"/>
      <c r="L51" s="61"/>
      <c r="M51" s="53"/>
      <c r="N51" s="53"/>
      <c r="O51" s="53"/>
      <c r="P51" s="53"/>
      <c r="Q51" s="53"/>
      <c r="R51" s="53"/>
      <c r="S51" s="53"/>
      <c r="T51" s="27"/>
      <c r="U51" s="10"/>
      <c r="V51" s="27"/>
      <c r="W51" s="27"/>
      <c r="X51" s="27"/>
    </row>
    <row r="52" ht="14.25" customHeight="1">
      <c r="A52" s="51">
        <v>45741.0</v>
      </c>
      <c r="B52" s="53"/>
      <c r="C52" s="53"/>
      <c r="D52" s="53"/>
      <c r="E52" s="57">
        <f>43936.33</f>
        <v>43936.33</v>
      </c>
      <c r="F52" s="27"/>
      <c r="G52" s="53"/>
      <c r="H52" s="53"/>
      <c r="I52" s="53"/>
      <c r="J52" s="53"/>
      <c r="K52" s="53"/>
      <c r="L52" s="61"/>
      <c r="M52" s="53"/>
      <c r="N52" s="53"/>
      <c r="O52" s="53"/>
      <c r="P52" s="53"/>
      <c r="Q52" s="53"/>
      <c r="R52" s="53"/>
      <c r="S52" s="53"/>
      <c r="T52" s="27"/>
      <c r="U52" s="10"/>
      <c r="V52" s="27"/>
      <c r="W52" s="27"/>
      <c r="X52" s="27"/>
    </row>
    <row r="53" ht="14.25" customHeight="1">
      <c r="A53" s="51">
        <v>45742.0</v>
      </c>
      <c r="B53" s="53"/>
      <c r="C53" s="53"/>
      <c r="D53" s="53"/>
      <c r="E53" s="53">
        <f>4573.55+9457.3+49++4945.72</f>
        <v>19025.57</v>
      </c>
      <c r="F53" s="27"/>
      <c r="G53" s="53"/>
      <c r="H53" s="53"/>
      <c r="I53" s="53"/>
      <c r="J53" s="53"/>
      <c r="K53" s="53"/>
      <c r="L53" s="61"/>
      <c r="M53" s="53"/>
      <c r="N53" s="53">
        <f>756</f>
        <v>756</v>
      </c>
      <c r="O53" s="53"/>
      <c r="P53" s="53"/>
      <c r="Q53" s="53"/>
      <c r="R53" s="53"/>
      <c r="S53" s="53"/>
      <c r="T53" s="27"/>
      <c r="U53" s="10"/>
      <c r="V53" s="27"/>
      <c r="W53" s="27"/>
      <c r="X53" s="27"/>
    </row>
    <row r="54" ht="14.25" customHeight="1">
      <c r="A54" s="51">
        <v>45742.0</v>
      </c>
      <c r="B54" s="53"/>
      <c r="C54" s="53"/>
      <c r="D54" s="53"/>
      <c r="E54" s="53">
        <f>199.5+500+333</f>
        <v>1032.5</v>
      </c>
      <c r="F54" s="27"/>
      <c r="G54" s="53"/>
      <c r="H54" s="53"/>
      <c r="I54" s="53"/>
      <c r="J54" s="53"/>
      <c r="K54" s="53"/>
      <c r="L54" s="61"/>
      <c r="M54" s="53"/>
      <c r="N54" s="53"/>
      <c r="O54" s="53"/>
      <c r="P54" s="53"/>
      <c r="Q54" s="53"/>
      <c r="R54" s="53"/>
      <c r="S54" s="53"/>
      <c r="T54" s="27"/>
      <c r="U54" s="10"/>
      <c r="V54" s="27"/>
      <c r="W54" s="27"/>
      <c r="X54" s="27"/>
    </row>
    <row r="55" ht="14.25" customHeight="1">
      <c r="A55" s="51">
        <v>45743.0</v>
      </c>
      <c r="B55" s="53"/>
      <c r="C55" s="53"/>
      <c r="D55" s="53"/>
      <c r="E55" s="53">
        <f>499.5+9.5+1000</f>
        <v>1509</v>
      </c>
      <c r="F55" s="27"/>
      <c r="G55" s="53"/>
      <c r="H55" s="53"/>
      <c r="I55" s="53"/>
      <c r="J55" s="53"/>
      <c r="K55" s="53"/>
      <c r="L55" s="61"/>
      <c r="M55" s="53"/>
      <c r="N55" s="53"/>
      <c r="O55" s="53"/>
      <c r="P55" s="53"/>
      <c r="Q55" s="53"/>
      <c r="R55" s="53"/>
      <c r="S55" s="53"/>
      <c r="T55" s="27"/>
      <c r="U55" s="10"/>
      <c r="V55" s="27"/>
      <c r="W55" s="27"/>
      <c r="X55" s="27"/>
    </row>
    <row r="56" ht="14.25" customHeight="1">
      <c r="A56" s="51">
        <v>45743.0</v>
      </c>
      <c r="B56" s="53"/>
      <c r="C56" s="53"/>
      <c r="D56" s="53"/>
      <c r="E56" s="53">
        <f>2349.36+3258.45+52168</f>
        <v>57775.81</v>
      </c>
      <c r="F56" s="27"/>
      <c r="G56" s="53"/>
      <c r="H56" s="53"/>
      <c r="I56" s="53"/>
      <c r="J56" s="53"/>
      <c r="K56" s="53"/>
      <c r="L56" s="61"/>
      <c r="M56" s="53"/>
      <c r="N56" s="53"/>
      <c r="O56" s="53"/>
      <c r="P56" s="53"/>
      <c r="Q56" s="53"/>
      <c r="R56" s="53"/>
      <c r="S56" s="53"/>
      <c r="T56" s="27"/>
      <c r="U56" s="10"/>
      <c r="V56" s="27"/>
      <c r="W56" s="27"/>
      <c r="X56" s="27"/>
    </row>
    <row r="57" ht="14.25" customHeight="1">
      <c r="A57" s="51">
        <v>45744.0</v>
      </c>
      <c r="B57" s="53"/>
      <c r="C57" s="53"/>
      <c r="D57" s="53"/>
      <c r="E57" s="53">
        <f>0.5+0.5+500+500</f>
        <v>1001</v>
      </c>
      <c r="F57" s="27"/>
      <c r="G57" s="53"/>
      <c r="H57" s="53"/>
      <c r="I57" s="53"/>
      <c r="J57" s="53"/>
      <c r="K57" s="53">
        <f>49220++13900+34560+48990+34890+61610+46570+62120+32400+19510+56560+33150+21420+33990+26060+30060+16520+35940+40140+33940+46100+35120+66110+32550+16950+71180+27240</f>
        <v>1026800</v>
      </c>
      <c r="L57" s="61"/>
      <c r="M57" s="53"/>
      <c r="N57" s="53">
        <f>45144</f>
        <v>45144</v>
      </c>
      <c r="O57" s="53"/>
      <c r="P57" s="53"/>
      <c r="Q57" s="53"/>
      <c r="R57" s="53"/>
      <c r="S57" s="53"/>
      <c r="T57" s="27"/>
      <c r="U57" s="10"/>
      <c r="V57" s="27"/>
      <c r="W57" s="27"/>
      <c r="X57" s="27"/>
    </row>
    <row r="58" ht="14.25" customHeight="1">
      <c r="A58" s="51">
        <v>45744.0</v>
      </c>
      <c r="B58" s="53"/>
      <c r="C58" s="53"/>
      <c r="D58" s="53"/>
      <c r="E58" s="53">
        <f>149.52+5487+9584+32568</f>
        <v>47788.52</v>
      </c>
      <c r="F58" s="27"/>
      <c r="G58" s="53"/>
      <c r="H58" s="53"/>
      <c r="I58" s="53"/>
      <c r="J58" s="53"/>
      <c r="K58" s="53"/>
      <c r="L58" s="61"/>
      <c r="M58" s="53"/>
      <c r="N58" s="53"/>
      <c r="O58" s="53"/>
      <c r="P58" s="53"/>
      <c r="Q58" s="53"/>
      <c r="R58" s="53"/>
      <c r="S58" s="53"/>
      <c r="T58" s="27"/>
      <c r="U58" s="10"/>
      <c r="V58" s="27"/>
      <c r="W58" s="27"/>
      <c r="X58" s="27"/>
    </row>
    <row r="59" ht="14.25" customHeight="1">
      <c r="A59" s="51">
        <v>45745.0</v>
      </c>
      <c r="B59" s="53"/>
      <c r="C59" s="53"/>
      <c r="D59" s="53"/>
      <c r="E59" s="53">
        <f>100+299.5</f>
        <v>399.5</v>
      </c>
      <c r="F59" s="27"/>
      <c r="G59" s="53"/>
      <c r="H59" s="53"/>
      <c r="I59" s="53"/>
      <c r="J59" s="53"/>
      <c r="K59" s="53"/>
      <c r="L59" s="61"/>
      <c r="M59" s="53"/>
      <c r="N59" s="53"/>
      <c r="O59" s="53"/>
      <c r="P59" s="53"/>
      <c r="Q59" s="53"/>
      <c r="R59" s="53"/>
      <c r="S59" s="53"/>
      <c r="T59" s="27"/>
      <c r="U59" s="10"/>
      <c r="V59" s="27"/>
      <c r="W59" s="27"/>
      <c r="X59" s="27"/>
    </row>
    <row r="60" ht="14.25" customHeight="1">
      <c r="A60" s="51">
        <v>45745.0</v>
      </c>
      <c r="B60" s="53"/>
      <c r="C60" s="53"/>
      <c r="D60" s="53"/>
      <c r="E60" s="53">
        <f>1948+5748+3215</f>
        <v>10911</v>
      </c>
      <c r="F60" s="27"/>
      <c r="G60" s="53"/>
      <c r="H60" s="53"/>
      <c r="I60" s="53"/>
      <c r="J60" s="53"/>
      <c r="K60" s="53"/>
      <c r="L60" s="61"/>
      <c r="M60" s="53"/>
      <c r="N60" s="53"/>
      <c r="O60" s="53"/>
      <c r="P60" s="53"/>
      <c r="Q60" s="53"/>
      <c r="R60" s="53"/>
      <c r="S60" s="53"/>
      <c r="T60" s="27"/>
      <c r="U60" s="10"/>
      <c r="V60" s="27"/>
      <c r="W60" s="27"/>
      <c r="X60" s="27"/>
    </row>
    <row r="61" ht="14.25" customHeight="1">
      <c r="A61" s="51">
        <v>45746.0</v>
      </c>
      <c r="B61" s="53"/>
      <c r="C61" s="53"/>
      <c r="D61" s="53"/>
      <c r="E61" s="53">
        <f>2999.5</f>
        <v>2999.5</v>
      </c>
      <c r="F61" s="27"/>
      <c r="G61" s="53"/>
      <c r="H61" s="53"/>
      <c r="I61" s="53"/>
      <c r="J61" s="53"/>
      <c r="K61" s="53"/>
      <c r="L61" s="61"/>
      <c r="M61" s="53"/>
      <c r="N61" s="53"/>
      <c r="O61" s="53"/>
      <c r="P61" s="53"/>
      <c r="Q61" s="53"/>
      <c r="R61" s="53"/>
      <c r="S61" s="53"/>
      <c r="T61" s="27"/>
      <c r="U61" s="10"/>
      <c r="V61" s="27"/>
      <c r="W61" s="27"/>
      <c r="X61" s="27"/>
    </row>
    <row r="62" ht="14.25" customHeight="1">
      <c r="A62" s="51">
        <v>45746.0</v>
      </c>
      <c r="B62" s="53"/>
      <c r="C62" s="53"/>
      <c r="D62" s="53"/>
      <c r="E62" s="53">
        <f>2538+69854+587</f>
        <v>72979</v>
      </c>
      <c r="F62" s="27"/>
      <c r="G62" s="53"/>
      <c r="H62" s="53"/>
      <c r="I62" s="53"/>
      <c r="J62" s="53"/>
      <c r="K62" s="53"/>
      <c r="L62" s="61"/>
      <c r="M62" s="53"/>
      <c r="N62" s="53"/>
      <c r="O62" s="53"/>
      <c r="P62" s="53"/>
      <c r="Q62" s="53"/>
      <c r="R62" s="53"/>
      <c r="S62" s="53"/>
      <c r="T62" s="27"/>
      <c r="U62" s="10"/>
      <c r="V62" s="27"/>
      <c r="W62" s="27"/>
      <c r="X62" s="27"/>
    </row>
    <row r="63" ht="14.25" customHeight="1">
      <c r="A63" s="51">
        <v>45747.0</v>
      </c>
      <c r="B63" s="55" t="s">
        <v>64</v>
      </c>
      <c r="C63" s="55">
        <v>15000.0</v>
      </c>
      <c r="F63" s="27"/>
      <c r="G63" s="53"/>
      <c r="H63" s="53"/>
      <c r="I63" s="53"/>
      <c r="J63" s="53"/>
      <c r="K63" s="53"/>
      <c r="L63" s="61"/>
      <c r="M63" s="53"/>
      <c r="N63" s="53"/>
      <c r="O63" s="53"/>
      <c r="P63" s="53"/>
      <c r="Q63" s="53"/>
      <c r="R63" s="53"/>
      <c r="S63" s="53"/>
      <c r="T63" s="27"/>
      <c r="U63" s="10"/>
      <c r="V63" s="27"/>
      <c r="W63" s="27"/>
      <c r="X63" s="27"/>
    </row>
    <row r="64" ht="14.25" customHeight="1">
      <c r="A64" s="71">
        <v>45747.0</v>
      </c>
      <c r="B64" s="72" t="s">
        <v>89</v>
      </c>
      <c r="C64" s="72">
        <v>50000.0</v>
      </c>
      <c r="D64" s="73"/>
      <c r="E64" s="73">
        <f>200+400</f>
        <v>600</v>
      </c>
      <c r="F64" s="27"/>
      <c r="G64" s="72">
        <v>20.38</v>
      </c>
      <c r="H64" s="73"/>
      <c r="I64" s="73"/>
      <c r="J64" s="73"/>
      <c r="K64" s="73"/>
      <c r="L64" s="74"/>
      <c r="M64" s="73"/>
      <c r="N64" s="73">
        <f>11520+9726</f>
        <v>21246</v>
      </c>
      <c r="O64" s="73"/>
      <c r="P64" s="73"/>
      <c r="Q64" s="73"/>
      <c r="R64" s="73"/>
      <c r="S64" s="73"/>
      <c r="T64" s="27"/>
      <c r="U64" s="10"/>
      <c r="V64" s="27"/>
      <c r="W64" s="27"/>
      <c r="X64" s="27"/>
    </row>
    <row r="65" ht="14.25" customHeight="1">
      <c r="A65" s="42" t="s">
        <v>47</v>
      </c>
      <c r="B65" s="43"/>
      <c r="C65" s="43">
        <f t="shared" ref="C65:T65" si="1">SUM(C3:C64)</f>
        <v>128907.28</v>
      </c>
      <c r="D65" s="43">
        <f t="shared" si="1"/>
        <v>0</v>
      </c>
      <c r="E65" s="43">
        <f t="shared" si="1"/>
        <v>909253.58</v>
      </c>
      <c r="F65" s="43">
        <f t="shared" si="1"/>
        <v>0</v>
      </c>
      <c r="G65" s="43">
        <f t="shared" si="1"/>
        <v>20.38</v>
      </c>
      <c r="H65" s="43">
        <f t="shared" si="1"/>
        <v>412500</v>
      </c>
      <c r="I65" s="43">
        <f t="shared" si="1"/>
        <v>507832</v>
      </c>
      <c r="J65" s="43">
        <f t="shared" si="1"/>
        <v>674292.15</v>
      </c>
      <c r="K65" s="43">
        <f t="shared" si="1"/>
        <v>1459163</v>
      </c>
      <c r="L65" s="43">
        <f t="shared" si="1"/>
        <v>150000</v>
      </c>
      <c r="M65" s="43">
        <f t="shared" si="1"/>
        <v>0</v>
      </c>
      <c r="N65" s="43">
        <f t="shared" si="1"/>
        <v>294736.31</v>
      </c>
      <c r="O65" s="43">
        <f t="shared" si="1"/>
        <v>0</v>
      </c>
      <c r="P65" s="43">
        <f t="shared" si="1"/>
        <v>0</v>
      </c>
      <c r="Q65" s="43">
        <f t="shared" si="1"/>
        <v>50000</v>
      </c>
      <c r="R65" s="43">
        <f t="shared" si="1"/>
        <v>0</v>
      </c>
      <c r="S65" s="43">
        <f t="shared" si="1"/>
        <v>0</v>
      </c>
      <c r="T65" s="75">
        <f t="shared" si="1"/>
        <v>1531899.751</v>
      </c>
      <c r="V65" s="45"/>
      <c r="W65" s="45"/>
      <c r="X65" s="45"/>
    </row>
    <row r="66" ht="14.25" customHeight="1"/>
    <row r="67" ht="14.25" customHeight="1"/>
    <row r="68" ht="14.25" customHeight="1"/>
    <row r="69" ht="14.25" customHeight="1"/>
    <row r="70" ht="14.25" customHeight="1">
      <c r="E70" s="76">
        <f>C65+D65+E65+G65</f>
        <v>1038181.24</v>
      </c>
    </row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3">
    <mergeCell ref="B1:C1"/>
    <mergeCell ref="H1:S1"/>
    <mergeCell ref="T1:U1"/>
  </mergeCells>
  <printOptions/>
  <pageMargins bottom="1.0" footer="0.0" header="0.0" left="0.75" right="0.75" top="1.0"/>
  <pageSetup paperSize="9" scale="3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3.14"/>
    <col customWidth="1" min="5" max="5" width="12.86"/>
    <col customWidth="1" hidden="1" min="6" max="6" width="12.43"/>
    <col customWidth="1" min="7" max="7" width="12.86"/>
    <col customWidth="1" min="8" max="8" width="13.0"/>
    <col customWidth="1" min="9" max="9" width="10.43"/>
    <col customWidth="1" min="10" max="10" width="14.43"/>
    <col customWidth="1" min="11" max="11" width="11.86"/>
    <col customWidth="1" min="12" max="12" width="12.0"/>
    <col customWidth="1" min="13" max="13" width="14.29"/>
    <col customWidth="1" min="14" max="14" width="11.29"/>
    <col customWidth="1" min="15" max="15" width="11.57"/>
    <col customWidth="1" min="16" max="17" width="8.71"/>
    <col customWidth="1" min="18" max="18" width="10.86"/>
    <col customWidth="1" min="19" max="19" width="8.71"/>
    <col customWidth="1" min="20" max="20" width="11.57"/>
    <col customWidth="1" min="21" max="21" width="56.14"/>
    <col customWidth="1" min="22" max="24" width="8.71"/>
  </cols>
  <sheetData>
    <row r="1" ht="71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74.2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77" t="s">
        <v>90</v>
      </c>
      <c r="S2" s="47"/>
      <c r="T2" s="6"/>
      <c r="U2" s="8"/>
    </row>
    <row r="3" ht="14.25" customHeight="1">
      <c r="A3" s="48">
        <v>45748.0</v>
      </c>
      <c r="B3" s="49"/>
      <c r="C3" s="50"/>
      <c r="D3" s="50"/>
      <c r="E3" s="50">
        <f>673.55+218.78</f>
        <v>892.33</v>
      </c>
      <c r="F3" s="27"/>
      <c r="G3" s="50"/>
      <c r="H3" s="50"/>
      <c r="I3" s="50"/>
      <c r="J3" s="50"/>
      <c r="K3" s="50"/>
      <c r="L3" s="78"/>
      <c r="M3" s="50"/>
      <c r="N3" s="50"/>
      <c r="O3" s="50"/>
      <c r="P3" s="50"/>
      <c r="Q3" s="50"/>
      <c r="R3" s="50"/>
      <c r="S3" s="50"/>
      <c r="T3" s="27">
        <f>5+5+5+32.51+80+5+5+5+5+5+5+5+15+5+5+5+87.51+5+5+5+5+5+5+5+5+15+5+5+5+5+5+5+5+5+5+5+60+5+5+5+5+5+5+5+5+5+5+5+5+5+5+5+87.51+5+5+5+5+51.14+5+5+80+5+5+5+5+5+5+5+5+5+5+5+5+5+5+5+5+5+5+5+5+5+5+5+5+5+5+5+5+5+5+80</f>
        <v>998.67</v>
      </c>
      <c r="U3" s="17" t="s">
        <v>20</v>
      </c>
      <c r="V3" s="27"/>
      <c r="W3" s="27"/>
      <c r="X3" s="27"/>
    </row>
    <row r="4" ht="14.25" customHeight="1">
      <c r="A4" s="51">
        <v>45748.0</v>
      </c>
      <c r="B4" s="52"/>
      <c r="C4" s="53"/>
      <c r="D4" s="53"/>
      <c r="E4" s="53">
        <f>5643+5948+1230</f>
        <v>12821</v>
      </c>
      <c r="F4" s="27"/>
      <c r="G4" s="53"/>
      <c r="H4" s="53"/>
      <c r="I4" s="53"/>
      <c r="J4" s="53"/>
      <c r="K4" s="53"/>
      <c r="L4" s="61"/>
      <c r="M4" s="53"/>
      <c r="N4" s="53"/>
      <c r="O4" s="53"/>
      <c r="P4" s="53"/>
      <c r="Q4" s="53"/>
      <c r="R4" s="53"/>
      <c r="S4" s="53"/>
      <c r="T4" s="27">
        <f>10715.79</f>
        <v>10715.79</v>
      </c>
      <c r="U4" s="21" t="s">
        <v>65</v>
      </c>
      <c r="V4" s="27"/>
      <c r="W4" s="27"/>
      <c r="X4" s="27"/>
    </row>
    <row r="5" ht="14.25" customHeight="1">
      <c r="A5" s="51">
        <v>45749.0</v>
      </c>
      <c r="B5" s="52"/>
      <c r="C5" s="53"/>
      <c r="D5" s="53"/>
      <c r="E5" s="55">
        <v>25783.0</v>
      </c>
      <c r="F5" s="27"/>
      <c r="G5" s="53"/>
      <c r="H5" s="53"/>
      <c r="I5" s="53"/>
      <c r="J5" s="53"/>
      <c r="K5" s="53"/>
      <c r="L5" s="61"/>
      <c r="M5" s="53"/>
      <c r="N5" s="55">
        <v>22400.0</v>
      </c>
      <c r="O5" s="53"/>
      <c r="P5" s="53"/>
      <c r="Q5" s="53"/>
      <c r="R5" s="53"/>
      <c r="S5" s="53"/>
      <c r="T5" s="27">
        <f>32175.3</f>
        <v>32175.3</v>
      </c>
      <c r="U5" s="22" t="s">
        <v>91</v>
      </c>
      <c r="V5" s="27"/>
      <c r="W5" s="27"/>
      <c r="X5" s="27"/>
    </row>
    <row r="6" ht="14.25" customHeight="1">
      <c r="A6" s="62">
        <v>45749.0</v>
      </c>
      <c r="B6" s="52"/>
      <c r="C6" s="53"/>
      <c r="D6" s="53"/>
      <c r="E6" s="53">
        <f>0.5+0.5+199.5+1000</f>
        <v>1200.5</v>
      </c>
      <c r="F6" s="27"/>
      <c r="G6" s="53"/>
      <c r="H6" s="53"/>
      <c r="I6" s="53"/>
      <c r="J6" s="53"/>
      <c r="K6" s="53"/>
      <c r="L6" s="61"/>
      <c r="M6" s="53"/>
      <c r="N6" s="53"/>
      <c r="O6" s="53"/>
      <c r="P6" s="53"/>
      <c r="Q6" s="53"/>
      <c r="R6" s="53"/>
      <c r="S6" s="53"/>
      <c r="T6" s="27"/>
      <c r="U6" s="17"/>
      <c r="V6" s="27"/>
      <c r="W6" s="27"/>
      <c r="X6" s="27"/>
    </row>
    <row r="7" ht="14.25" customHeight="1">
      <c r="A7" s="62">
        <v>45750.0</v>
      </c>
      <c r="B7" s="52"/>
      <c r="C7" s="53"/>
      <c r="D7" s="53"/>
      <c r="E7" s="53">
        <f>4372.53+14.87</f>
        <v>4387.4</v>
      </c>
      <c r="F7" s="27"/>
      <c r="G7" s="53"/>
      <c r="H7" s="53"/>
      <c r="I7" s="53"/>
      <c r="J7" s="53"/>
      <c r="K7" s="53"/>
      <c r="L7" s="61"/>
      <c r="M7" s="53"/>
      <c r="N7" s="53"/>
      <c r="O7" s="53"/>
      <c r="P7" s="53"/>
      <c r="Q7" s="53"/>
      <c r="R7" s="53"/>
      <c r="S7" s="53"/>
      <c r="T7" s="27">
        <f>89.21</f>
        <v>89.21</v>
      </c>
      <c r="U7" s="17" t="s">
        <v>92</v>
      </c>
      <c r="V7" s="27"/>
      <c r="W7" s="27"/>
      <c r="X7" s="27"/>
    </row>
    <row r="8" ht="14.25" customHeight="1">
      <c r="A8" s="51">
        <v>45750.0</v>
      </c>
      <c r="B8" s="52"/>
      <c r="C8" s="53"/>
      <c r="D8" s="53"/>
      <c r="E8" s="53">
        <f>10.5+2000+499.5</f>
        <v>2510</v>
      </c>
      <c r="F8" s="27"/>
      <c r="G8" s="53"/>
      <c r="H8" s="53"/>
      <c r="I8" s="53"/>
      <c r="J8" s="53"/>
      <c r="K8" s="53"/>
      <c r="L8" s="61"/>
      <c r="M8" s="53"/>
      <c r="N8" s="53"/>
      <c r="O8" s="53"/>
      <c r="P8" s="53"/>
      <c r="Q8" s="53">
        <f>21000+19980</f>
        <v>40980</v>
      </c>
      <c r="R8" s="53"/>
      <c r="S8" s="53"/>
      <c r="T8" s="27"/>
      <c r="U8" s="17"/>
      <c r="V8" s="27"/>
      <c r="W8" s="27"/>
      <c r="X8" s="27"/>
    </row>
    <row r="9" ht="14.25" customHeight="1">
      <c r="A9" s="51">
        <v>45751.0</v>
      </c>
      <c r="B9" s="56"/>
      <c r="C9" s="53"/>
      <c r="D9" s="53"/>
      <c r="E9" s="53">
        <f>2224.54+38.45+229.97</f>
        <v>2492.96</v>
      </c>
      <c r="F9" s="27"/>
      <c r="G9" s="53"/>
      <c r="H9" s="53"/>
      <c r="I9" s="53"/>
      <c r="J9" s="53"/>
      <c r="K9" s="53"/>
      <c r="L9" s="61"/>
      <c r="M9" s="53"/>
      <c r="N9" s="53"/>
      <c r="O9" s="53"/>
      <c r="P9" s="53"/>
      <c r="Q9" s="53"/>
      <c r="R9" s="53"/>
      <c r="S9" s="53"/>
      <c r="T9" s="27">
        <f>1000.02</f>
        <v>1000.02</v>
      </c>
      <c r="U9" s="17" t="s">
        <v>93</v>
      </c>
      <c r="V9" s="27"/>
      <c r="W9" s="27"/>
      <c r="X9" s="27"/>
    </row>
    <row r="10" ht="14.25" customHeight="1">
      <c r="A10" s="51">
        <v>45751.0</v>
      </c>
      <c r="B10" s="56"/>
      <c r="C10" s="12"/>
      <c r="D10" s="53"/>
      <c r="E10" s="53">
        <f>450</f>
        <v>450</v>
      </c>
      <c r="F10" s="27"/>
      <c r="G10" s="53"/>
      <c r="H10" s="53"/>
      <c r="I10" s="53"/>
      <c r="J10" s="53"/>
      <c r="K10" s="53"/>
      <c r="L10" s="61"/>
      <c r="M10" s="53"/>
      <c r="N10" s="53">
        <f>3000</f>
        <v>3000</v>
      </c>
      <c r="O10" s="53"/>
      <c r="P10" s="53"/>
      <c r="Q10" s="53"/>
      <c r="R10" s="53"/>
      <c r="S10" s="53"/>
      <c r="T10" s="27">
        <f>22030.18+15003.45+6502.65+16000.6+17093.49+50003.8+6502.65+15003.45+17130.63+17502.1+17502.1+15200+2971.72+371.47+408.61+15003.45+50003.8+17502.1+17502.1+25001.9+17502.1+1734.04+10228.68+591.36+17502.1+16000.6+15003.45+5911.29+4134.9</f>
        <v>432848.77</v>
      </c>
      <c r="U10" s="17" t="s">
        <v>28</v>
      </c>
      <c r="V10" s="27"/>
      <c r="W10" s="27"/>
      <c r="X10" s="27"/>
    </row>
    <row r="11" ht="14.25" customHeight="1">
      <c r="A11" s="51">
        <v>45752.0</v>
      </c>
      <c r="B11" s="64"/>
      <c r="C11" s="53"/>
      <c r="D11" s="53"/>
      <c r="E11" s="53">
        <f>578.28</f>
        <v>578.28</v>
      </c>
      <c r="F11" s="27"/>
      <c r="G11" s="53"/>
      <c r="H11" s="53"/>
      <c r="I11" s="53"/>
      <c r="J11" s="53"/>
      <c r="K11" s="53"/>
      <c r="L11" s="61"/>
      <c r="M11" s="53"/>
      <c r="N11" s="53"/>
      <c r="O11" s="53"/>
      <c r="P11" s="53"/>
      <c r="Q11" s="53"/>
      <c r="R11" s="53"/>
      <c r="S11" s="53"/>
      <c r="T11" s="27">
        <f>3509</f>
        <v>3509</v>
      </c>
      <c r="U11" s="17" t="s">
        <v>68</v>
      </c>
      <c r="V11" s="27"/>
      <c r="W11" s="27"/>
      <c r="X11" s="27"/>
    </row>
    <row r="12" ht="14.25" customHeight="1">
      <c r="A12" s="51">
        <v>45752.0</v>
      </c>
      <c r="B12" s="15"/>
      <c r="C12" s="53"/>
      <c r="D12" s="53"/>
      <c r="E12" s="53">
        <f>1000+5000+80000+25000+25000+500+150+20000+25000+6500</f>
        <v>188150</v>
      </c>
      <c r="F12" s="27"/>
      <c r="G12" s="53"/>
      <c r="H12" s="53"/>
      <c r="I12" s="53"/>
      <c r="J12" s="53"/>
      <c r="K12" s="53"/>
      <c r="L12" s="61"/>
      <c r="M12" s="53"/>
      <c r="N12" s="53"/>
      <c r="O12" s="53"/>
      <c r="P12" s="53"/>
      <c r="Q12" s="53"/>
      <c r="R12" s="53"/>
      <c r="S12" s="53"/>
      <c r="T12" s="27">
        <f>12896.97+10552.06+2931.13+10073.75+36265.49+44324.49+106.13+24.12+790.21+965.81+86.84+219.5+37055.7+14563.12+11915.28+3309.8+10293.25+45290.3+966.6+268.5+1181.4</f>
        <v>244080.45</v>
      </c>
      <c r="U12" s="17" t="s">
        <v>29</v>
      </c>
      <c r="V12" s="27"/>
      <c r="W12" s="27"/>
      <c r="X12" s="27"/>
    </row>
    <row r="13" ht="14.25" customHeight="1">
      <c r="A13" s="51">
        <v>45753.0</v>
      </c>
      <c r="B13" s="15"/>
      <c r="C13" s="12"/>
      <c r="D13" s="53"/>
      <c r="E13" s="53">
        <f>9.5+0.5</f>
        <v>10</v>
      </c>
      <c r="F13" s="27"/>
      <c r="G13" s="53"/>
      <c r="H13" s="53"/>
      <c r="I13" s="53"/>
      <c r="J13" s="53"/>
      <c r="K13" s="53"/>
      <c r="L13" s="61"/>
      <c r="M13" s="53"/>
      <c r="N13" s="53"/>
      <c r="O13" s="53"/>
      <c r="P13" s="53"/>
      <c r="Q13" s="53"/>
      <c r="R13" s="53"/>
      <c r="S13" s="53"/>
      <c r="T13" s="27">
        <f>770</f>
        <v>770</v>
      </c>
      <c r="U13" s="27" t="s">
        <v>69</v>
      </c>
      <c r="V13" s="27"/>
      <c r="W13" s="27"/>
      <c r="X13" s="27"/>
    </row>
    <row r="14" ht="14.25" customHeight="1">
      <c r="A14" s="51">
        <v>45753.0</v>
      </c>
      <c r="B14" s="52"/>
      <c r="C14" s="53"/>
      <c r="D14" s="53"/>
      <c r="E14" s="53">
        <f>807.13+315.44</f>
        <v>1122.57</v>
      </c>
      <c r="F14" s="27"/>
      <c r="G14" s="53"/>
      <c r="H14" s="53"/>
      <c r="I14" s="53"/>
      <c r="J14" s="53"/>
      <c r="K14" s="53"/>
      <c r="L14" s="61"/>
      <c r="M14" s="53"/>
      <c r="N14" s="53"/>
      <c r="O14" s="53"/>
      <c r="P14" s="53"/>
      <c r="Q14" s="53"/>
      <c r="R14" s="53"/>
      <c r="S14" s="53"/>
      <c r="T14" s="27">
        <f>46000</f>
        <v>46000</v>
      </c>
      <c r="U14" s="17" t="s">
        <v>70</v>
      </c>
      <c r="V14" s="27"/>
      <c r="W14" s="27"/>
      <c r="X14" s="27"/>
    </row>
    <row r="15" ht="14.25" customHeight="1">
      <c r="A15" s="51">
        <v>45754.0</v>
      </c>
      <c r="B15" s="52"/>
      <c r="C15" s="53"/>
      <c r="D15" s="53"/>
      <c r="E15" s="53"/>
      <c r="F15" s="27"/>
      <c r="G15" s="53"/>
      <c r="H15" s="53"/>
      <c r="I15" s="53"/>
      <c r="J15" s="53"/>
      <c r="K15" s="53">
        <f>21240</f>
        <v>21240</v>
      </c>
      <c r="L15" s="61"/>
      <c r="M15" s="53"/>
      <c r="N15" s="53"/>
      <c r="O15" s="53"/>
      <c r="P15" s="53"/>
      <c r="Q15" s="53"/>
      <c r="R15" s="53"/>
      <c r="S15" s="53"/>
      <c r="T15" s="26"/>
      <c r="U15" s="17"/>
      <c r="V15" s="27"/>
      <c r="W15" s="27"/>
      <c r="X15" s="27"/>
    </row>
    <row r="16" ht="14.25" customHeight="1">
      <c r="A16" s="51">
        <v>45754.0</v>
      </c>
      <c r="B16" s="65"/>
      <c r="C16" s="53"/>
      <c r="D16" s="53"/>
      <c r="E16" s="53">
        <f>737.54+743.96</f>
        <v>1481.5</v>
      </c>
      <c r="F16" s="27"/>
      <c r="G16" s="53"/>
      <c r="H16" s="53"/>
      <c r="I16" s="53"/>
      <c r="J16" s="53"/>
      <c r="K16" s="53"/>
      <c r="L16" s="61"/>
      <c r="M16" s="53"/>
      <c r="N16" s="53">
        <f>86112.18+5591.7+20130.12</f>
        <v>111834</v>
      </c>
      <c r="O16" s="53"/>
      <c r="P16" s="53"/>
      <c r="Q16" s="53"/>
      <c r="R16" s="53"/>
      <c r="S16" s="53"/>
      <c r="T16" s="27">
        <f>1530</f>
        <v>1530</v>
      </c>
      <c r="U16" s="21" t="s">
        <v>72</v>
      </c>
      <c r="V16" s="27"/>
      <c r="W16" s="27"/>
      <c r="X16" s="27"/>
    </row>
    <row r="17" ht="14.25" customHeight="1">
      <c r="A17" s="51">
        <v>45755.0</v>
      </c>
      <c r="B17" s="79"/>
      <c r="C17" s="55"/>
      <c r="D17" s="53"/>
      <c r="E17" s="53"/>
      <c r="F17" s="27"/>
      <c r="G17" s="53"/>
      <c r="H17" s="53"/>
      <c r="I17" s="53"/>
      <c r="J17" s="53"/>
      <c r="K17" s="53"/>
      <c r="L17" s="61"/>
      <c r="M17" s="53"/>
      <c r="N17" s="53"/>
      <c r="O17" s="53"/>
      <c r="P17" s="53"/>
      <c r="Q17" s="53"/>
      <c r="R17" s="53"/>
      <c r="S17" s="53"/>
      <c r="T17" s="27">
        <f>4050</f>
        <v>4050</v>
      </c>
      <c r="U17" s="22" t="s">
        <v>94</v>
      </c>
      <c r="V17" s="27"/>
      <c r="W17" s="27"/>
      <c r="X17" s="27"/>
    </row>
    <row r="18" ht="14.25" customHeight="1">
      <c r="A18" s="51">
        <v>45755.0</v>
      </c>
      <c r="B18" s="80" t="s">
        <v>45</v>
      </c>
      <c r="C18" s="55">
        <v>3056.4</v>
      </c>
      <c r="D18" s="53"/>
      <c r="E18" s="53">
        <f>812.21</f>
        <v>812.21</v>
      </c>
      <c r="F18" s="27"/>
      <c r="G18" s="53"/>
      <c r="H18" s="53"/>
      <c r="I18" s="55">
        <v>81000.0</v>
      </c>
      <c r="J18" s="53"/>
      <c r="K18" s="53"/>
      <c r="L18" s="61"/>
      <c r="M18" s="53"/>
      <c r="N18" s="53"/>
      <c r="O18" s="53"/>
      <c r="P18" s="53"/>
      <c r="Q18" s="53"/>
      <c r="R18" s="53"/>
      <c r="S18" s="53"/>
      <c r="T18" s="26">
        <v>45000.0</v>
      </c>
      <c r="U18" s="17" t="s">
        <v>73</v>
      </c>
      <c r="V18" s="27"/>
      <c r="W18" s="27"/>
      <c r="X18" s="27"/>
    </row>
    <row r="19" ht="14.25" customHeight="1">
      <c r="A19" s="51">
        <v>45756.0</v>
      </c>
      <c r="B19" s="52"/>
      <c r="C19" s="53"/>
      <c r="D19" s="53"/>
      <c r="E19" s="53">
        <f>1000+300+110+99.5+313.98</f>
        <v>1823.48</v>
      </c>
      <c r="F19" s="27"/>
      <c r="G19" s="53"/>
      <c r="H19" s="53"/>
      <c r="I19" s="53"/>
      <c r="J19" s="53"/>
      <c r="K19" s="53"/>
      <c r="L19" s="61"/>
      <c r="M19" s="53"/>
      <c r="N19" s="53"/>
      <c r="O19" s="53"/>
      <c r="P19" s="53"/>
      <c r="Q19" s="53"/>
      <c r="R19" s="53"/>
      <c r="S19" s="53"/>
      <c r="T19" s="27">
        <f>50000</f>
        <v>50000</v>
      </c>
      <c r="U19" s="28" t="s">
        <v>95</v>
      </c>
      <c r="V19" s="27"/>
      <c r="W19" s="27"/>
      <c r="X19" s="27"/>
    </row>
    <row r="20" ht="14.25" customHeight="1">
      <c r="A20" s="51">
        <v>45756.0</v>
      </c>
      <c r="B20" s="81" t="s">
        <v>52</v>
      </c>
      <c r="C20" s="57">
        <v>1728.32</v>
      </c>
      <c r="D20" s="53"/>
      <c r="E20" s="53">
        <f>4</f>
        <v>4</v>
      </c>
      <c r="F20" s="27"/>
      <c r="G20" s="53"/>
      <c r="H20" s="53"/>
      <c r="I20" s="53"/>
      <c r="J20" s="53"/>
      <c r="K20" s="53"/>
      <c r="L20" s="61"/>
      <c r="M20" s="53"/>
      <c r="N20" s="53">
        <f>600</f>
        <v>600</v>
      </c>
      <c r="O20" s="53"/>
      <c r="P20" s="53"/>
      <c r="Q20" s="53">
        <f>50000</f>
        <v>50000</v>
      </c>
      <c r="R20" s="53"/>
      <c r="S20" s="53"/>
      <c r="T20" s="27">
        <f>15000</f>
        <v>15000</v>
      </c>
      <c r="U20" s="28" t="s">
        <v>54</v>
      </c>
      <c r="V20" s="27"/>
      <c r="W20" s="27"/>
      <c r="X20" s="27"/>
    </row>
    <row r="21" ht="14.25" customHeight="1">
      <c r="A21" s="51">
        <v>45757.0</v>
      </c>
      <c r="B21" s="65"/>
      <c r="C21" s="53"/>
      <c r="D21" s="53"/>
      <c r="E21" s="53">
        <f>105520+9.5+10.5+100</f>
        <v>105640</v>
      </c>
      <c r="F21" s="27"/>
      <c r="G21" s="53"/>
      <c r="H21" s="53"/>
      <c r="I21" s="53">
        <f>96000</f>
        <v>96000</v>
      </c>
      <c r="J21" s="53"/>
      <c r="K21" s="53"/>
      <c r="L21" s="61"/>
      <c r="M21" s="53"/>
      <c r="N21" s="53">
        <f>3972.45+756+3638.77</f>
        <v>8367.22</v>
      </c>
      <c r="O21" s="53"/>
      <c r="P21" s="53"/>
      <c r="Q21" s="53"/>
      <c r="R21" s="53"/>
      <c r="S21" s="53"/>
      <c r="T21" s="27">
        <f>9680+17100</f>
        <v>26780</v>
      </c>
      <c r="U21" s="28" t="s">
        <v>96</v>
      </c>
      <c r="V21" s="27"/>
      <c r="W21" s="27"/>
      <c r="X21" s="27"/>
    </row>
    <row r="22" ht="14.25" customHeight="1">
      <c r="A22" s="51">
        <v>45757.0</v>
      </c>
      <c r="B22" s="54" t="s">
        <v>97</v>
      </c>
      <c r="C22" s="55">
        <v>78480.0</v>
      </c>
      <c r="D22" s="53"/>
      <c r="E22" s="53">
        <f>4174.17+296.33</f>
        <v>4470.5</v>
      </c>
      <c r="F22" s="27"/>
      <c r="G22" s="53"/>
      <c r="H22" s="53"/>
      <c r="I22" s="53"/>
      <c r="J22" s="53"/>
      <c r="K22" s="53"/>
      <c r="L22" s="61"/>
      <c r="M22" s="53"/>
      <c r="N22" s="53">
        <f>1004</f>
        <v>1004</v>
      </c>
      <c r="O22" s="53"/>
      <c r="P22" s="53"/>
      <c r="Q22" s="53"/>
      <c r="R22" s="53"/>
      <c r="S22" s="53"/>
      <c r="T22" s="27">
        <f>2144</f>
        <v>2144</v>
      </c>
      <c r="U22" s="17" t="s">
        <v>98</v>
      </c>
      <c r="V22" s="27"/>
      <c r="W22" s="27"/>
      <c r="X22" s="27"/>
    </row>
    <row r="23" ht="14.25" customHeight="1">
      <c r="A23" s="51">
        <v>45758.0</v>
      </c>
      <c r="B23" s="52"/>
      <c r="C23" s="53"/>
      <c r="D23" s="53"/>
      <c r="E23" s="53">
        <f>1000</f>
        <v>1000</v>
      </c>
      <c r="F23" s="27"/>
      <c r="G23" s="53"/>
      <c r="H23" s="53"/>
      <c r="I23" s="53"/>
      <c r="J23" s="53"/>
      <c r="K23" s="53"/>
      <c r="L23" s="61"/>
      <c r="M23" s="53"/>
      <c r="N23" s="53"/>
      <c r="O23" s="53"/>
      <c r="P23" s="53"/>
      <c r="Q23" s="53"/>
      <c r="R23" s="53"/>
      <c r="S23" s="53"/>
      <c r="T23" s="27"/>
      <c r="U23" s="66"/>
      <c r="V23" s="27"/>
      <c r="W23" s="27"/>
      <c r="X23" s="27"/>
    </row>
    <row r="24" ht="14.25" customHeight="1">
      <c r="A24" s="51">
        <v>45758.0</v>
      </c>
      <c r="B24" s="52"/>
      <c r="C24" s="53"/>
      <c r="D24" s="53"/>
      <c r="E24" s="53">
        <f>887.1+230.56</f>
        <v>1117.66</v>
      </c>
      <c r="F24" s="27"/>
      <c r="G24" s="53"/>
      <c r="H24" s="53"/>
      <c r="I24" s="53"/>
      <c r="J24" s="53"/>
      <c r="K24" s="53"/>
      <c r="L24" s="61"/>
      <c r="M24" s="53"/>
      <c r="N24" s="53"/>
      <c r="O24" s="53"/>
      <c r="P24" s="53"/>
      <c r="Q24" s="53"/>
      <c r="R24" s="53"/>
      <c r="S24" s="53"/>
      <c r="T24" s="27">
        <f>6400</f>
        <v>6400</v>
      </c>
      <c r="U24" s="28" t="s">
        <v>99</v>
      </c>
      <c r="V24" s="27"/>
      <c r="W24" s="27"/>
      <c r="X24" s="27"/>
    </row>
    <row r="25" ht="14.25" customHeight="1">
      <c r="A25" s="51">
        <v>45759.0</v>
      </c>
      <c r="B25" s="52"/>
      <c r="C25" s="53"/>
      <c r="D25" s="53"/>
      <c r="E25" s="53">
        <f>0.5</f>
        <v>0.5</v>
      </c>
      <c r="F25" s="27"/>
      <c r="G25" s="53"/>
      <c r="H25" s="53"/>
      <c r="I25" s="53"/>
      <c r="J25" s="53"/>
      <c r="K25" s="53"/>
      <c r="L25" s="61"/>
      <c r="M25" s="53"/>
      <c r="N25" s="53"/>
      <c r="O25" s="53"/>
      <c r="P25" s="53"/>
      <c r="Q25" s="53"/>
      <c r="R25" s="53"/>
      <c r="S25" s="53"/>
      <c r="T25" s="27">
        <f>1445+3630</f>
        <v>5075</v>
      </c>
      <c r="U25" s="10" t="s">
        <v>79</v>
      </c>
      <c r="V25" s="27"/>
      <c r="W25" s="27"/>
      <c r="X25" s="27"/>
    </row>
    <row r="26" ht="14.25" customHeight="1">
      <c r="A26" s="51">
        <v>45759.0</v>
      </c>
      <c r="B26" s="52"/>
      <c r="C26" s="53"/>
      <c r="D26" s="53"/>
      <c r="E26" s="53">
        <f>1586.19+1074.83</f>
        <v>2661.02</v>
      </c>
      <c r="F26" s="27"/>
      <c r="G26" s="53"/>
      <c r="H26" s="53"/>
      <c r="I26" s="53"/>
      <c r="J26" s="53"/>
      <c r="K26" s="53"/>
      <c r="L26" s="61"/>
      <c r="M26" s="53"/>
      <c r="N26" s="53"/>
      <c r="O26" s="53"/>
      <c r="P26" s="53"/>
      <c r="Q26" s="53"/>
      <c r="R26" s="53"/>
      <c r="S26" s="53"/>
      <c r="T26" s="27">
        <f>16780+44200+54800+13070+65400+18850+65400+18871+13105+15200+16800+15050.07+7000+13070+16800+19430+15200+16780+15200+600+50399+76000+44200</f>
        <v>632205.07</v>
      </c>
      <c r="U26" s="10" t="s">
        <v>25</v>
      </c>
      <c r="V26" s="27"/>
      <c r="W26" s="27"/>
      <c r="X26" s="27"/>
    </row>
    <row r="27" ht="14.25" customHeight="1">
      <c r="A27" s="51">
        <v>45760.0</v>
      </c>
      <c r="B27" s="52"/>
      <c r="C27" s="53"/>
      <c r="D27" s="53"/>
      <c r="E27" s="53">
        <f>149.5+9.5+9.5</f>
        <v>168.5</v>
      </c>
      <c r="F27" s="27"/>
      <c r="G27" s="53"/>
      <c r="H27" s="53"/>
      <c r="I27" s="53"/>
      <c r="J27" s="53"/>
      <c r="K27" s="53"/>
      <c r="L27" s="61"/>
      <c r="M27" s="65"/>
      <c r="N27" s="53"/>
      <c r="O27" s="53"/>
      <c r="P27" s="53"/>
      <c r="Q27" s="53"/>
      <c r="R27" s="53"/>
      <c r="S27" s="53"/>
      <c r="V27" s="27"/>
      <c r="W27" s="27"/>
      <c r="X27" s="27"/>
    </row>
    <row r="28" ht="14.25" customHeight="1">
      <c r="A28" s="51">
        <v>45760.0</v>
      </c>
      <c r="B28" s="52"/>
      <c r="C28" s="53"/>
      <c r="D28" s="53"/>
      <c r="E28" s="53">
        <f>1802.2+569.35</f>
        <v>2371.55</v>
      </c>
      <c r="F28" s="27"/>
      <c r="G28" s="53"/>
      <c r="H28" s="53"/>
      <c r="I28" s="53"/>
      <c r="J28" s="53"/>
      <c r="K28" s="53"/>
      <c r="L28" s="61"/>
      <c r="M28" s="53"/>
      <c r="N28" s="53"/>
      <c r="O28" s="53"/>
      <c r="P28" s="53"/>
      <c r="Q28" s="53"/>
      <c r="R28" s="53"/>
      <c r="S28" s="53"/>
      <c r="T28" s="27"/>
      <c r="U28" s="21"/>
      <c r="V28" s="27"/>
      <c r="W28" s="27"/>
      <c r="X28" s="27"/>
    </row>
    <row r="29" ht="14.25" customHeight="1">
      <c r="A29" s="51">
        <v>45761.0</v>
      </c>
      <c r="B29" s="52"/>
      <c r="C29" s="53"/>
      <c r="D29" s="53"/>
      <c r="E29" s="53">
        <f>0.5+49.5</f>
        <v>50</v>
      </c>
      <c r="F29" s="27"/>
      <c r="G29" s="53"/>
      <c r="H29" s="53"/>
      <c r="I29" s="53"/>
      <c r="J29" s="53"/>
      <c r="K29" s="53"/>
      <c r="L29" s="61"/>
      <c r="M29" s="53"/>
      <c r="N29" s="53"/>
      <c r="O29" s="53"/>
      <c r="P29" s="53"/>
      <c r="Q29" s="53"/>
      <c r="R29" s="53"/>
      <c r="S29" s="53"/>
      <c r="T29" s="27">
        <f>792</f>
        <v>792</v>
      </c>
      <c r="U29" s="10" t="s">
        <v>81</v>
      </c>
      <c r="V29" s="27"/>
      <c r="W29" s="27"/>
      <c r="X29" s="27"/>
    </row>
    <row r="30" ht="14.25" customHeight="1">
      <c r="A30" s="51">
        <v>45761.0</v>
      </c>
      <c r="B30" s="81" t="s">
        <v>52</v>
      </c>
      <c r="C30" s="55">
        <v>491.0</v>
      </c>
      <c r="D30" s="53"/>
      <c r="E30" s="53">
        <f>8072.27+397.74+188.13</f>
        <v>8658.14</v>
      </c>
      <c r="F30" s="27"/>
      <c r="G30" s="53"/>
      <c r="H30" s="53"/>
      <c r="I30" s="53"/>
      <c r="J30" s="53"/>
      <c r="K30" s="53"/>
      <c r="L30" s="61"/>
      <c r="M30" s="53"/>
      <c r="N30" s="55">
        <f>600+1021.28+25200</f>
        <v>26821.28</v>
      </c>
      <c r="O30" s="53"/>
      <c r="P30" s="53"/>
      <c r="Q30" s="53"/>
      <c r="R30" s="53"/>
      <c r="S30" s="53"/>
      <c r="T30" s="26">
        <v>206700.0</v>
      </c>
      <c r="U30" s="33" t="s">
        <v>100</v>
      </c>
      <c r="V30" s="27"/>
      <c r="W30" s="27"/>
      <c r="X30" s="27"/>
    </row>
    <row r="31" ht="14.25" customHeight="1">
      <c r="A31" s="51">
        <v>45762.0</v>
      </c>
      <c r="B31" s="52"/>
      <c r="C31" s="53"/>
      <c r="D31" s="53"/>
      <c r="E31" s="53">
        <f>49.5+999.5+0.5+199.5</f>
        <v>1249</v>
      </c>
      <c r="F31" s="27"/>
      <c r="G31" s="53"/>
      <c r="H31" s="53"/>
      <c r="I31" s="53"/>
      <c r="J31" s="53"/>
      <c r="K31" s="53"/>
      <c r="L31" s="61"/>
      <c r="M31" s="53"/>
      <c r="N31" s="53"/>
      <c r="O31" s="53"/>
      <c r="P31" s="53"/>
      <c r="Q31" s="53"/>
      <c r="R31" s="53"/>
      <c r="S31" s="53"/>
      <c r="T31" s="67">
        <f>1565+2264.32+3090</f>
        <v>6919.32</v>
      </c>
      <c r="U31" s="21" t="s">
        <v>21</v>
      </c>
      <c r="V31" s="27"/>
      <c r="W31" s="27"/>
      <c r="X31" s="27"/>
    </row>
    <row r="32" ht="14.25" customHeight="1">
      <c r="A32" s="51">
        <v>45762.0</v>
      </c>
      <c r="B32" s="53"/>
      <c r="C32" s="53"/>
      <c r="D32" s="53"/>
      <c r="E32" s="53">
        <f>19276.96</f>
        <v>19276.96</v>
      </c>
      <c r="F32" s="27"/>
      <c r="G32" s="53"/>
      <c r="H32" s="53"/>
      <c r="I32" s="53"/>
      <c r="J32" s="57">
        <v>1392662.76</v>
      </c>
      <c r="K32" s="53"/>
      <c r="L32" s="61"/>
      <c r="M32" s="53"/>
      <c r="N32" s="53"/>
      <c r="O32" s="53"/>
      <c r="P32" s="53"/>
      <c r="Q32" s="53"/>
      <c r="R32" s="53"/>
      <c r="S32" s="53"/>
      <c r="T32" s="27">
        <f>4200</f>
        <v>4200</v>
      </c>
      <c r="U32" s="10" t="s">
        <v>101</v>
      </c>
      <c r="V32" s="27"/>
      <c r="W32" s="27"/>
      <c r="X32" s="27"/>
    </row>
    <row r="33" ht="14.25" customHeight="1">
      <c r="A33" s="51">
        <v>45763.0</v>
      </c>
      <c r="B33" s="64"/>
      <c r="C33" s="53"/>
      <c r="D33" s="53"/>
      <c r="E33" s="53">
        <f>299.5+9.5</f>
        <v>309</v>
      </c>
      <c r="F33" s="27"/>
      <c r="G33" s="53"/>
      <c r="H33" s="53"/>
      <c r="I33" s="53"/>
      <c r="J33" s="53"/>
      <c r="K33" s="53"/>
      <c r="L33" s="61"/>
      <c r="M33" s="53"/>
      <c r="N33" s="53">
        <f>22606+5125+978.54</f>
        <v>28709.54</v>
      </c>
      <c r="O33" s="53"/>
      <c r="P33" s="53"/>
      <c r="Q33" s="53"/>
      <c r="R33" s="53"/>
      <c r="S33" s="53"/>
      <c r="T33" s="27">
        <f>12000</f>
        <v>12000</v>
      </c>
      <c r="U33" s="28" t="s">
        <v>102</v>
      </c>
      <c r="V33" s="27"/>
      <c r="W33" s="27"/>
      <c r="X33" s="27"/>
    </row>
    <row r="34" ht="14.25" customHeight="1">
      <c r="A34" s="51">
        <v>45763.0</v>
      </c>
      <c r="B34" s="68"/>
      <c r="C34" s="53"/>
      <c r="D34" s="53"/>
      <c r="E34" s="53">
        <f>2182.58</f>
        <v>2182.58</v>
      </c>
      <c r="F34" s="27"/>
      <c r="G34" s="53"/>
      <c r="H34" s="53"/>
      <c r="I34" s="53"/>
      <c r="J34" s="53"/>
      <c r="K34" s="53"/>
      <c r="L34" s="61"/>
      <c r="M34" s="53"/>
      <c r="N34" s="53"/>
      <c r="O34" s="53"/>
      <c r="P34" s="53"/>
      <c r="Q34" s="53"/>
      <c r="R34" s="53"/>
      <c r="S34" s="53"/>
      <c r="T34" s="27">
        <f>1661.93</f>
        <v>1661.93</v>
      </c>
      <c r="U34" s="21" t="s">
        <v>84</v>
      </c>
      <c r="V34" s="27"/>
      <c r="W34" s="27"/>
      <c r="X34" s="27"/>
    </row>
    <row r="35" ht="15.0" customHeight="1">
      <c r="A35" s="51">
        <v>45764.0</v>
      </c>
      <c r="B35" s="64"/>
      <c r="C35" s="53"/>
      <c r="D35" s="53"/>
      <c r="E35" s="53"/>
      <c r="F35" s="27"/>
      <c r="G35" s="53"/>
      <c r="H35" s="53"/>
      <c r="I35" s="53"/>
      <c r="J35" s="53"/>
      <c r="K35" s="53"/>
      <c r="L35" s="61"/>
      <c r="M35" s="53"/>
      <c r="N35" s="53"/>
      <c r="O35" s="57">
        <v>399785.12</v>
      </c>
      <c r="P35" s="53"/>
      <c r="Q35" s="53"/>
      <c r="R35" s="53"/>
      <c r="S35" s="53"/>
      <c r="T35" s="27">
        <f>60800</f>
        <v>60800</v>
      </c>
      <c r="U35" s="10" t="s">
        <v>85</v>
      </c>
      <c r="V35" s="27"/>
      <c r="W35" s="27"/>
      <c r="X35" s="27"/>
    </row>
    <row r="36" ht="15.75" customHeight="1">
      <c r="A36" s="51">
        <v>45764.0</v>
      </c>
      <c r="B36" s="68"/>
      <c r="C36" s="53"/>
      <c r="D36" s="53">
        <f>24.5+3277.44</f>
        <v>3301.94</v>
      </c>
      <c r="E36" s="53">
        <f>4944.3+1808.52+956.07</f>
        <v>7708.89</v>
      </c>
      <c r="F36" s="27"/>
      <c r="G36" s="53"/>
      <c r="H36" s="53"/>
      <c r="I36" s="53"/>
      <c r="J36" s="53"/>
      <c r="K36" s="53"/>
      <c r="L36" s="61"/>
      <c r="M36" s="53"/>
      <c r="N36" s="53"/>
      <c r="O36" s="53"/>
      <c r="P36" s="53"/>
      <c r="Q36" s="53"/>
      <c r="R36" s="53"/>
      <c r="S36" s="53"/>
      <c r="T36" s="27">
        <f>3804</f>
        <v>3804</v>
      </c>
      <c r="U36" s="10" t="s">
        <v>24</v>
      </c>
      <c r="V36" s="27"/>
      <c r="W36" s="27"/>
      <c r="X36" s="27"/>
    </row>
    <row r="37" ht="14.25" customHeight="1">
      <c r="A37" s="51">
        <v>45765.0</v>
      </c>
      <c r="B37" s="54" t="s">
        <v>103</v>
      </c>
      <c r="C37" s="55">
        <v>31570.0</v>
      </c>
      <c r="D37" s="53"/>
      <c r="E37" s="53">
        <f>0.5+0.5+0.5</f>
        <v>1.5</v>
      </c>
      <c r="F37" s="27"/>
      <c r="G37" s="53"/>
      <c r="H37" s="53"/>
      <c r="I37" s="53"/>
      <c r="J37" s="53"/>
      <c r="K37" s="53"/>
      <c r="L37" s="61"/>
      <c r="M37" s="15"/>
      <c r="N37" s="53"/>
      <c r="O37" s="53"/>
      <c r="P37" s="53"/>
      <c r="Q37" s="53"/>
      <c r="R37" s="53"/>
      <c r="S37" s="53"/>
      <c r="T37" s="27">
        <f>5000</f>
        <v>5000</v>
      </c>
      <c r="U37" s="33" t="s">
        <v>104</v>
      </c>
      <c r="V37" s="27"/>
      <c r="W37" s="27"/>
      <c r="X37" s="27"/>
    </row>
    <row r="38" ht="14.25" customHeight="1">
      <c r="A38" s="51">
        <v>45765.0</v>
      </c>
      <c r="B38" s="68"/>
      <c r="C38" s="53"/>
      <c r="D38" s="53"/>
      <c r="E38" s="53">
        <f>5065.6+465.55+456.86</f>
        <v>5988.01</v>
      </c>
      <c r="F38" s="27"/>
      <c r="G38" s="53"/>
      <c r="H38" s="53"/>
      <c r="I38" s="53"/>
      <c r="J38" s="53"/>
      <c r="K38" s="53"/>
      <c r="L38" s="61"/>
      <c r="M38" s="53"/>
      <c r="N38" s="53">
        <f>5525+611</f>
        <v>6136</v>
      </c>
      <c r="O38" s="53"/>
      <c r="P38" s="53"/>
      <c r="Q38" s="53"/>
      <c r="R38" s="53"/>
      <c r="S38" s="53"/>
      <c r="T38" s="27"/>
      <c r="U38" s="21"/>
      <c r="V38" s="27"/>
      <c r="W38" s="27"/>
      <c r="X38" s="27"/>
    </row>
    <row r="39" ht="14.25" customHeight="1">
      <c r="A39" s="51">
        <v>45766.0</v>
      </c>
      <c r="B39" s="53"/>
      <c r="C39" s="53"/>
      <c r="D39" s="53"/>
      <c r="E39" s="53"/>
      <c r="F39" s="27"/>
      <c r="G39" s="53"/>
      <c r="H39" s="53"/>
      <c r="I39" s="53"/>
      <c r="J39" s="53"/>
      <c r="K39" s="53">
        <f>2050+23100+18780+31850+13640+18150</f>
        <v>107570</v>
      </c>
      <c r="L39" s="61"/>
      <c r="M39" s="53"/>
      <c r="N39" s="53"/>
      <c r="O39" s="53"/>
      <c r="P39" s="53"/>
      <c r="Q39" s="53"/>
      <c r="R39" s="53"/>
      <c r="S39" s="53"/>
      <c r="T39" s="27"/>
      <c r="U39" s="10"/>
      <c r="V39" s="27"/>
      <c r="W39" s="27"/>
      <c r="X39" s="27"/>
    </row>
    <row r="40" ht="14.25" customHeight="1">
      <c r="A40" s="51">
        <v>45766.0</v>
      </c>
      <c r="B40" s="52"/>
      <c r="C40" s="53"/>
      <c r="D40" s="53"/>
      <c r="E40" s="53">
        <f>2469.11+517.28+122.21</f>
        <v>3108.6</v>
      </c>
      <c r="F40" s="27"/>
      <c r="G40" s="53"/>
      <c r="H40" s="53"/>
      <c r="I40" s="53"/>
      <c r="J40" s="53"/>
      <c r="K40" s="53"/>
      <c r="L40" s="61"/>
      <c r="M40" s="53"/>
      <c r="N40" s="53"/>
      <c r="O40" s="53"/>
      <c r="P40" s="53"/>
      <c r="Q40" s="53"/>
      <c r="R40" s="53"/>
      <c r="S40" s="53"/>
      <c r="T40" s="27">
        <f>2250</f>
        <v>2250</v>
      </c>
      <c r="U40" s="33" t="s">
        <v>105</v>
      </c>
      <c r="V40" s="27"/>
      <c r="W40" s="27"/>
      <c r="X40" s="27"/>
    </row>
    <row r="41" ht="14.25" customHeight="1">
      <c r="A41" s="51">
        <v>45767.0</v>
      </c>
      <c r="B41" s="52"/>
      <c r="C41" s="12"/>
      <c r="D41" s="53"/>
      <c r="E41" s="53">
        <f>2000+1500+4.5+299.5</f>
        <v>3804</v>
      </c>
      <c r="F41" s="27"/>
      <c r="G41" s="53"/>
      <c r="H41" s="53"/>
      <c r="I41" s="53"/>
      <c r="J41" s="53"/>
      <c r="K41" s="53"/>
      <c r="L41" s="61"/>
      <c r="M41" s="53"/>
      <c r="N41" s="53"/>
      <c r="O41" s="53"/>
      <c r="P41" s="53"/>
      <c r="Q41" s="53"/>
      <c r="R41" s="53"/>
      <c r="S41" s="53"/>
      <c r="T41" s="27">
        <f>3999</f>
        <v>3999</v>
      </c>
      <c r="U41" s="57" t="s">
        <v>106</v>
      </c>
      <c r="V41" s="27"/>
      <c r="W41" s="27"/>
      <c r="X41" s="27"/>
    </row>
    <row r="42" ht="14.25" customHeight="1">
      <c r="A42" s="51">
        <v>45767.0</v>
      </c>
      <c r="B42" s="53"/>
      <c r="C42" s="53"/>
      <c r="D42" s="53"/>
      <c r="E42" s="53">
        <f>221.3+235.01</f>
        <v>456.31</v>
      </c>
      <c r="F42" s="27"/>
      <c r="G42" s="53"/>
      <c r="H42" s="53"/>
      <c r="I42" s="53"/>
      <c r="J42" s="53"/>
      <c r="K42" s="53"/>
      <c r="L42" s="61"/>
      <c r="M42" s="53"/>
      <c r="N42" s="53"/>
      <c r="O42" s="53"/>
      <c r="P42" s="53"/>
      <c r="Q42" s="53"/>
      <c r="R42" s="53"/>
      <c r="S42" s="53"/>
      <c r="T42" s="27">
        <f>232500</f>
        <v>232500</v>
      </c>
      <c r="U42" s="28" t="s">
        <v>107</v>
      </c>
      <c r="V42" s="27"/>
      <c r="W42" s="27"/>
      <c r="X42" s="27"/>
    </row>
    <row r="43" ht="14.25" customHeight="1">
      <c r="A43" s="51">
        <v>45768.0</v>
      </c>
      <c r="B43" s="55" t="s">
        <v>48</v>
      </c>
      <c r="C43" s="55">
        <v>5895.13</v>
      </c>
      <c r="D43" s="53"/>
      <c r="E43" s="53">
        <f>1599.5+0.5</f>
        <v>1600</v>
      </c>
      <c r="F43" s="27"/>
      <c r="G43" s="53"/>
      <c r="H43" s="53"/>
      <c r="I43" s="53"/>
      <c r="J43" s="53"/>
      <c r="K43" s="53"/>
      <c r="L43" s="61"/>
      <c r="M43" s="53"/>
      <c r="N43" s="53"/>
      <c r="O43" s="53"/>
      <c r="P43" s="53"/>
      <c r="Q43" s="53"/>
      <c r="R43" s="53"/>
      <c r="S43" s="53"/>
      <c r="T43" s="27"/>
      <c r="U43" s="10"/>
      <c r="V43" s="27"/>
      <c r="W43" s="27"/>
      <c r="X43" s="27"/>
    </row>
    <row r="44" ht="14.25" customHeight="1">
      <c r="A44" s="51">
        <v>45768.0</v>
      </c>
      <c r="B44" s="53"/>
      <c r="C44" s="53"/>
      <c r="D44" s="53"/>
      <c r="E44" s="53">
        <f>4212.49+123.36</f>
        <v>4335.85</v>
      </c>
      <c r="F44" s="27"/>
      <c r="G44" s="53"/>
      <c r="H44" s="53"/>
      <c r="I44" s="53"/>
      <c r="J44" s="53"/>
      <c r="K44" s="53"/>
      <c r="L44" s="61"/>
      <c r="M44" s="53"/>
      <c r="N44" s="53"/>
      <c r="O44" s="53"/>
      <c r="P44" s="53"/>
      <c r="Q44" s="53"/>
      <c r="R44" s="53"/>
      <c r="S44" s="53"/>
      <c r="T44" s="27"/>
      <c r="U44" s="21"/>
      <c r="V44" s="27"/>
      <c r="W44" s="27"/>
      <c r="X44" s="27"/>
    </row>
    <row r="45" ht="14.25" customHeight="1">
      <c r="A45" s="51">
        <v>45769.0</v>
      </c>
      <c r="B45" s="53"/>
      <c r="C45" s="53"/>
      <c r="D45" s="53"/>
      <c r="E45" s="53"/>
      <c r="F45" s="27"/>
      <c r="G45" s="53"/>
      <c r="H45" s="53"/>
      <c r="I45" s="53"/>
      <c r="J45" s="53"/>
      <c r="K45" s="53"/>
      <c r="L45" s="61"/>
      <c r="M45" s="53"/>
      <c r="N45" s="53">
        <f>460</f>
        <v>460</v>
      </c>
      <c r="O45" s="53"/>
      <c r="P45" s="53"/>
      <c r="Q45" s="53"/>
      <c r="R45" s="53"/>
      <c r="S45" s="53"/>
      <c r="T45" s="27"/>
      <c r="U45" s="10"/>
      <c r="V45" s="27"/>
      <c r="W45" s="27"/>
      <c r="X45" s="27"/>
    </row>
    <row r="46" ht="14.25" customHeight="1">
      <c r="A46" s="51">
        <v>45769.0</v>
      </c>
      <c r="B46" s="53"/>
      <c r="C46" s="53"/>
      <c r="D46" s="53"/>
      <c r="E46" s="53">
        <f>100</f>
        <v>100</v>
      </c>
      <c r="F46" s="27"/>
      <c r="G46" s="53"/>
      <c r="H46" s="53"/>
      <c r="I46" s="53"/>
      <c r="J46" s="53"/>
      <c r="K46" s="53"/>
      <c r="L46" s="61"/>
      <c r="M46" s="53"/>
      <c r="N46" s="53"/>
      <c r="O46" s="53"/>
      <c r="P46" s="53"/>
      <c r="Q46" s="53"/>
      <c r="R46" s="53"/>
      <c r="S46" s="53"/>
      <c r="T46" s="27"/>
      <c r="U46" s="21"/>
      <c r="V46" s="27"/>
      <c r="W46" s="27"/>
      <c r="X46" s="27"/>
    </row>
    <row r="47" ht="14.25" customHeight="1">
      <c r="A47" s="51">
        <v>45770.0</v>
      </c>
      <c r="B47" s="53"/>
      <c r="C47" s="53"/>
      <c r="D47" s="53"/>
      <c r="E47" s="53"/>
      <c r="F47" s="27"/>
      <c r="G47" s="53"/>
      <c r="H47" s="53"/>
      <c r="I47" s="53"/>
      <c r="J47" s="53"/>
      <c r="K47" s="53">
        <f>31570</f>
        <v>31570</v>
      </c>
      <c r="L47" s="61"/>
      <c r="M47" s="53"/>
      <c r="N47" s="53">
        <f>15071.48+4500+6904.8</f>
        <v>26476.28</v>
      </c>
      <c r="O47" s="53"/>
      <c r="P47" s="53"/>
      <c r="Q47" s="53"/>
      <c r="R47" s="53"/>
      <c r="S47" s="53"/>
      <c r="T47" s="27"/>
      <c r="U47" s="10"/>
      <c r="V47" s="27"/>
      <c r="W47" s="27"/>
      <c r="X47" s="27"/>
    </row>
    <row r="48" ht="14.25" customHeight="1">
      <c r="A48" s="51">
        <v>45770.0</v>
      </c>
      <c r="B48" s="55" t="s">
        <v>108</v>
      </c>
      <c r="C48" s="55">
        <v>133185.34</v>
      </c>
      <c r="D48" s="53"/>
      <c r="E48" s="53">
        <f>1134.9</f>
        <v>1134.9</v>
      </c>
      <c r="F48" s="27"/>
      <c r="G48" s="53"/>
      <c r="H48" s="53"/>
      <c r="I48" s="53"/>
      <c r="J48" s="53"/>
      <c r="K48" s="53">
        <f>78480</f>
        <v>78480</v>
      </c>
      <c r="L48" s="61"/>
      <c r="M48" s="53"/>
      <c r="N48" s="53"/>
      <c r="O48" s="53"/>
      <c r="P48" s="53"/>
      <c r="Q48" s="53"/>
      <c r="R48" s="53"/>
      <c r="S48" s="53"/>
      <c r="T48" s="27"/>
      <c r="U48" s="14"/>
      <c r="V48" s="27"/>
      <c r="W48" s="27"/>
      <c r="X48" s="27"/>
    </row>
    <row r="49" ht="14.25" customHeight="1">
      <c r="A49" s="51">
        <v>45771.0</v>
      </c>
      <c r="B49" s="53"/>
      <c r="C49" s="53"/>
      <c r="D49" s="53"/>
      <c r="E49" s="53">
        <f>100+499.5+0.5+9.5+0.5</f>
        <v>610</v>
      </c>
      <c r="F49" s="27"/>
      <c r="G49" s="53"/>
      <c r="H49" s="53"/>
      <c r="I49" s="53">
        <f>12900+12900+12900+45954.4+4540.65+4595</f>
        <v>93790.05</v>
      </c>
      <c r="J49" s="53"/>
      <c r="K49" s="53"/>
      <c r="L49" s="61"/>
      <c r="M49" s="53"/>
      <c r="N49" s="53">
        <f>499</f>
        <v>499</v>
      </c>
      <c r="O49" s="53"/>
      <c r="P49" s="53"/>
      <c r="Q49" s="53"/>
      <c r="R49" s="53"/>
      <c r="S49" s="53"/>
      <c r="T49" s="27"/>
      <c r="U49" s="14"/>
      <c r="V49" s="27"/>
      <c r="W49" s="27"/>
      <c r="X49" s="27"/>
    </row>
    <row r="50" ht="14.25" customHeight="1">
      <c r="A50" s="51">
        <v>45771.0</v>
      </c>
      <c r="B50" s="53"/>
      <c r="C50" s="53"/>
      <c r="D50" s="53"/>
      <c r="E50" s="53">
        <f>877.26+979.87+237.71</f>
        <v>2094.84</v>
      </c>
      <c r="F50" s="27"/>
      <c r="G50" s="53"/>
      <c r="H50" s="53"/>
      <c r="I50" s="53"/>
      <c r="J50" s="53"/>
      <c r="K50" s="53"/>
      <c r="L50" s="61"/>
      <c r="M50" s="53"/>
      <c r="N50" s="53"/>
      <c r="O50" s="53"/>
      <c r="P50" s="53"/>
      <c r="Q50" s="53"/>
      <c r="R50" s="53"/>
      <c r="S50" s="53"/>
      <c r="T50" s="27"/>
      <c r="U50" s="10"/>
      <c r="V50" s="27"/>
      <c r="W50" s="27"/>
      <c r="X50" s="27"/>
    </row>
    <row r="51" ht="14.25" customHeight="1">
      <c r="A51" s="51">
        <v>45772.0</v>
      </c>
      <c r="B51" s="53"/>
      <c r="C51" s="53"/>
      <c r="D51" s="53"/>
      <c r="E51" s="53">
        <f>1000+500+99.5+0.5+0.5+0.5+10.5</f>
        <v>1611.5</v>
      </c>
      <c r="F51" s="27"/>
      <c r="G51" s="53"/>
      <c r="H51" s="53"/>
      <c r="I51" s="53"/>
      <c r="J51" s="53"/>
      <c r="K51" s="53"/>
      <c r="L51" s="61"/>
      <c r="M51" s="53"/>
      <c r="N51" s="53"/>
      <c r="O51" s="53"/>
      <c r="P51" s="53"/>
      <c r="Q51" s="53"/>
      <c r="R51" s="53"/>
      <c r="S51" s="53"/>
      <c r="T51" s="27"/>
      <c r="U51" s="10"/>
      <c r="V51" s="27"/>
      <c r="W51" s="27"/>
      <c r="X51" s="27"/>
    </row>
    <row r="52" ht="14.25" customHeight="1">
      <c r="A52" s="51">
        <v>45772.0</v>
      </c>
      <c r="B52" s="53"/>
      <c r="C52" s="53"/>
      <c r="D52" s="53"/>
      <c r="E52" s="53">
        <f>3745.87+4.17</f>
        <v>3750.04</v>
      </c>
      <c r="F52" s="27"/>
      <c r="G52" s="53"/>
      <c r="H52" s="53"/>
      <c r="I52" s="53"/>
      <c r="J52" s="53"/>
      <c r="K52" s="53"/>
      <c r="L52" s="61"/>
      <c r="M52" s="53"/>
      <c r="N52" s="53"/>
      <c r="O52" s="53"/>
      <c r="P52" s="53"/>
      <c r="Q52" s="53"/>
      <c r="R52" s="53">
        <f>17600+43850+43608+44942</f>
        <v>150000</v>
      </c>
      <c r="S52" s="53"/>
      <c r="T52" s="27"/>
      <c r="U52" s="10"/>
      <c r="V52" s="27"/>
      <c r="W52" s="27"/>
      <c r="X52" s="27"/>
    </row>
    <row r="53" ht="14.25" customHeight="1">
      <c r="A53" s="51">
        <v>45773.0</v>
      </c>
      <c r="B53" s="53"/>
      <c r="C53" s="53"/>
      <c r="D53" s="53"/>
      <c r="E53" s="53">
        <f>199.5+806</f>
        <v>1005.5</v>
      </c>
      <c r="F53" s="27"/>
      <c r="G53" s="53"/>
      <c r="H53" s="53">
        <f>1725000*5</f>
        <v>8625000</v>
      </c>
      <c r="I53" s="53"/>
      <c r="J53" s="53"/>
      <c r="K53" s="53"/>
      <c r="L53" s="61"/>
      <c r="M53" s="53"/>
      <c r="N53" s="53"/>
      <c r="O53" s="53"/>
      <c r="P53" s="53"/>
      <c r="Q53" s="53"/>
      <c r="R53" s="53"/>
      <c r="S53" s="53"/>
      <c r="T53" s="27"/>
      <c r="U53" s="10"/>
      <c r="V53" s="27"/>
      <c r="W53" s="27"/>
      <c r="X53" s="27"/>
    </row>
    <row r="54" ht="14.25" customHeight="1">
      <c r="A54" s="51">
        <v>45773.0</v>
      </c>
      <c r="B54" s="53"/>
      <c r="C54" s="53"/>
      <c r="D54" s="53"/>
      <c r="E54" s="53">
        <f>426.65+19.18+441.46</f>
        <v>887.29</v>
      </c>
      <c r="F54" s="27"/>
      <c r="G54" s="53"/>
      <c r="H54" s="53"/>
      <c r="I54" s="53"/>
      <c r="J54" s="53"/>
      <c r="K54" s="53"/>
      <c r="L54" s="61"/>
      <c r="M54" s="53"/>
      <c r="N54" s="53"/>
      <c r="O54" s="53"/>
      <c r="P54" s="53"/>
      <c r="Q54" s="53"/>
      <c r="R54" s="53"/>
      <c r="S54" s="53"/>
      <c r="T54" s="27"/>
      <c r="U54" s="10"/>
      <c r="V54" s="27"/>
      <c r="W54" s="27"/>
      <c r="X54" s="27"/>
    </row>
    <row r="55" ht="14.25" customHeight="1">
      <c r="A55" s="51">
        <v>45774.0</v>
      </c>
      <c r="B55" s="53"/>
      <c r="C55" s="53"/>
      <c r="D55" s="53"/>
      <c r="E55" s="53">
        <f>499.5</f>
        <v>499.5</v>
      </c>
      <c r="F55" s="27"/>
      <c r="G55" s="53"/>
      <c r="H55" s="53">
        <f>1725000*5</f>
        <v>8625000</v>
      </c>
      <c r="I55" s="53"/>
      <c r="J55" s="53"/>
      <c r="K55" s="53"/>
      <c r="L55" s="61"/>
      <c r="M55" s="53"/>
      <c r="N55" s="53"/>
      <c r="O55" s="53"/>
      <c r="P55" s="53"/>
      <c r="Q55" s="53"/>
      <c r="R55" s="53"/>
      <c r="S55" s="53"/>
      <c r="T55" s="27"/>
      <c r="U55" s="10"/>
      <c r="V55" s="27"/>
      <c r="W55" s="27"/>
      <c r="X55" s="27"/>
    </row>
    <row r="56" ht="14.25" customHeight="1">
      <c r="A56" s="51">
        <v>45774.0</v>
      </c>
      <c r="B56" s="53"/>
      <c r="C56" s="53"/>
      <c r="D56" s="53"/>
      <c r="E56" s="53">
        <f>2344.37+254.94</f>
        <v>2599.31</v>
      </c>
      <c r="F56" s="27"/>
      <c r="G56" s="53"/>
      <c r="H56" s="53"/>
      <c r="I56" s="53"/>
      <c r="J56" s="53"/>
      <c r="K56" s="53"/>
      <c r="L56" s="61"/>
      <c r="M56" s="53"/>
      <c r="N56" s="53"/>
      <c r="O56" s="53"/>
      <c r="P56" s="53"/>
      <c r="Q56" s="53"/>
      <c r="R56" s="53"/>
      <c r="S56" s="53"/>
      <c r="T56" s="27"/>
      <c r="U56" s="10"/>
      <c r="V56" s="27"/>
      <c r="W56" s="27"/>
      <c r="X56" s="27"/>
    </row>
    <row r="57" ht="14.25" customHeight="1">
      <c r="A57" s="51">
        <v>45775.0</v>
      </c>
      <c r="B57" s="53"/>
      <c r="C57" s="53"/>
      <c r="D57" s="53"/>
      <c r="E57" s="53">
        <f>744.5+0.5</f>
        <v>745</v>
      </c>
      <c r="F57" s="27"/>
      <c r="G57" s="53"/>
      <c r="H57" s="53"/>
      <c r="I57" s="53"/>
      <c r="J57" s="53"/>
      <c r="K57" s="53"/>
      <c r="L57" s="61"/>
      <c r="M57" s="53"/>
      <c r="N57" s="53"/>
      <c r="O57" s="53"/>
      <c r="P57" s="53"/>
      <c r="Q57" s="53"/>
      <c r="R57" s="53"/>
      <c r="S57" s="53"/>
      <c r="T57" s="27"/>
      <c r="U57" s="10"/>
      <c r="V57" s="27"/>
      <c r="W57" s="27"/>
      <c r="X57" s="27"/>
    </row>
    <row r="58" ht="14.25" customHeight="1">
      <c r="A58" s="51">
        <v>45775.0</v>
      </c>
      <c r="B58" s="55" t="s">
        <v>109</v>
      </c>
      <c r="C58" s="55">
        <v>2850000.0</v>
      </c>
      <c r="D58" s="53"/>
      <c r="E58" s="53">
        <f>1032.54</f>
        <v>1032.54</v>
      </c>
      <c r="F58" s="27"/>
      <c r="G58" s="53"/>
      <c r="H58" s="53"/>
      <c r="I58" s="53"/>
      <c r="J58" s="55">
        <v>44550.0</v>
      </c>
      <c r="K58" s="53"/>
      <c r="L58" s="61"/>
      <c r="M58" s="53"/>
      <c r="N58" s="53"/>
      <c r="O58" s="53"/>
      <c r="P58" s="53"/>
      <c r="Q58" s="53"/>
      <c r="R58" s="53"/>
      <c r="S58" s="53"/>
      <c r="T58" s="27"/>
      <c r="U58" s="10"/>
      <c r="V58" s="27"/>
      <c r="W58" s="27"/>
      <c r="X58" s="27"/>
    </row>
    <row r="59" ht="14.25" customHeight="1">
      <c r="A59" s="51">
        <v>45776.0</v>
      </c>
      <c r="B59" s="55" t="s">
        <v>110</v>
      </c>
      <c r="C59" s="55">
        <v>150000.0</v>
      </c>
      <c r="D59" s="53"/>
      <c r="E59" s="53"/>
      <c r="F59" s="27"/>
      <c r="G59" s="53"/>
      <c r="H59" s="53"/>
      <c r="I59" s="53"/>
      <c r="J59" s="53"/>
      <c r="K59" s="53"/>
      <c r="L59" s="61"/>
      <c r="M59" s="53"/>
      <c r="N59" s="53"/>
      <c r="O59" s="53"/>
      <c r="P59" s="53"/>
      <c r="Q59" s="53"/>
      <c r="R59" s="53"/>
      <c r="S59" s="53"/>
      <c r="T59" s="27"/>
      <c r="U59" s="10"/>
      <c r="V59" s="27"/>
      <c r="W59" s="27"/>
      <c r="X59" s="27"/>
    </row>
    <row r="60" ht="14.25" customHeight="1">
      <c r="A60" s="51">
        <v>45776.0</v>
      </c>
      <c r="B60" s="53"/>
      <c r="C60" s="53"/>
      <c r="D60" s="53"/>
      <c r="E60" s="53">
        <f>382.06</f>
        <v>382.06</v>
      </c>
      <c r="F60" s="27"/>
      <c r="G60" s="53"/>
      <c r="H60" s="53"/>
      <c r="I60" s="53"/>
      <c r="J60" s="53"/>
      <c r="K60" s="53"/>
      <c r="L60" s="61"/>
      <c r="M60" s="53"/>
      <c r="N60" s="53"/>
      <c r="O60" s="53"/>
      <c r="P60" s="53"/>
      <c r="Q60" s="53"/>
      <c r="R60" s="53"/>
      <c r="S60" s="53"/>
      <c r="T60" s="27"/>
      <c r="U60" s="10"/>
      <c r="V60" s="27"/>
      <c r="W60" s="27"/>
      <c r="X60" s="27"/>
    </row>
    <row r="61" ht="14.25" customHeight="1">
      <c r="A61" s="51">
        <v>45777.0</v>
      </c>
      <c r="B61" s="53"/>
      <c r="C61" s="53"/>
      <c r="D61" s="53"/>
      <c r="E61" s="53">
        <f>2088</f>
        <v>2088</v>
      </c>
      <c r="F61" s="27"/>
      <c r="G61" s="53"/>
      <c r="H61" s="53"/>
      <c r="I61" s="53"/>
      <c r="J61" s="53"/>
      <c r="K61" s="53"/>
      <c r="L61" s="61"/>
      <c r="M61" s="53"/>
      <c r="N61" s="53"/>
      <c r="O61" s="53"/>
      <c r="P61" s="53"/>
      <c r="Q61" s="53"/>
      <c r="R61" s="53"/>
      <c r="S61" s="53"/>
      <c r="T61" s="27"/>
      <c r="U61" s="10"/>
      <c r="V61" s="27"/>
      <c r="W61" s="27"/>
      <c r="X61" s="27"/>
    </row>
    <row r="62" ht="14.25" customHeight="1">
      <c r="A62" s="51">
        <v>45777.0</v>
      </c>
      <c r="B62" s="55" t="s">
        <v>111</v>
      </c>
      <c r="C62" s="55">
        <v>15000.0</v>
      </c>
      <c r="D62" s="53">
        <f>1000+2000</f>
        <v>3000</v>
      </c>
      <c r="E62" s="53">
        <f>3000+5834.03+9389.5+182672.99+9.5+150+0.03</f>
        <v>201056.05</v>
      </c>
      <c r="F62" s="27"/>
      <c r="G62" s="53">
        <f>19.73</f>
        <v>19.73</v>
      </c>
      <c r="H62" s="53"/>
      <c r="I62" s="53"/>
      <c r="J62" s="53"/>
      <c r="K62" s="53"/>
      <c r="L62" s="61"/>
      <c r="M62" s="53"/>
      <c r="N62" s="53">
        <f>10240+756+4543+2108.04</f>
        <v>17647.04</v>
      </c>
      <c r="O62" s="53"/>
      <c r="P62" s="53"/>
      <c r="Q62" s="53"/>
      <c r="R62" s="53"/>
      <c r="S62" s="53"/>
      <c r="T62" s="27"/>
      <c r="U62" s="10"/>
      <c r="V62" s="27"/>
      <c r="W62" s="27"/>
      <c r="X62" s="27"/>
    </row>
    <row r="63" ht="14.25" customHeight="1">
      <c r="A63" s="82"/>
      <c r="B63" s="53"/>
      <c r="C63" s="53"/>
      <c r="D63" s="53"/>
      <c r="E63" s="53"/>
      <c r="F63" s="27"/>
      <c r="G63" s="53"/>
      <c r="H63" s="53"/>
      <c r="I63" s="53"/>
      <c r="J63" s="53"/>
      <c r="K63" s="53"/>
      <c r="L63" s="61"/>
      <c r="M63" s="53"/>
      <c r="N63" s="53"/>
      <c r="O63" s="53"/>
      <c r="P63" s="53"/>
      <c r="Q63" s="53"/>
      <c r="R63" s="53"/>
      <c r="S63" s="53"/>
      <c r="T63" s="27"/>
      <c r="U63" s="10"/>
      <c r="V63" s="27"/>
      <c r="W63" s="27"/>
      <c r="X63" s="27"/>
    </row>
    <row r="64" ht="14.25" customHeight="1">
      <c r="A64" s="82"/>
      <c r="B64" s="73"/>
      <c r="C64" s="73"/>
      <c r="D64" s="73"/>
      <c r="E64" s="73"/>
      <c r="F64" s="27"/>
      <c r="G64" s="73"/>
      <c r="H64" s="73"/>
      <c r="I64" s="73"/>
      <c r="J64" s="73"/>
      <c r="K64" s="73"/>
      <c r="L64" s="74"/>
      <c r="M64" s="73"/>
      <c r="N64" s="73"/>
      <c r="O64" s="73"/>
      <c r="P64" s="73"/>
      <c r="Q64" s="73"/>
      <c r="R64" s="73"/>
      <c r="S64" s="73"/>
      <c r="T64" s="27"/>
      <c r="U64" s="10"/>
      <c r="V64" s="27"/>
      <c r="W64" s="27"/>
      <c r="X64" s="27"/>
    </row>
    <row r="65" ht="14.25" customHeight="1">
      <c r="A65" s="42" t="s">
        <v>47</v>
      </c>
      <c r="B65" s="43"/>
      <c r="C65" s="43">
        <f t="shared" ref="C65:T65" si="1">SUM(C3:C64)</f>
        <v>3269406.19</v>
      </c>
      <c r="D65" s="43">
        <f t="shared" si="1"/>
        <v>6301.94</v>
      </c>
      <c r="E65" s="43">
        <f t="shared" si="1"/>
        <v>640274.33</v>
      </c>
      <c r="F65" s="43">
        <f t="shared" si="1"/>
        <v>0</v>
      </c>
      <c r="G65" s="43">
        <f t="shared" si="1"/>
        <v>19.73</v>
      </c>
      <c r="H65" s="43">
        <f t="shared" si="1"/>
        <v>17250000</v>
      </c>
      <c r="I65" s="43">
        <f t="shared" si="1"/>
        <v>270790.05</v>
      </c>
      <c r="J65" s="43">
        <f t="shared" si="1"/>
        <v>1437212.76</v>
      </c>
      <c r="K65" s="43">
        <f t="shared" si="1"/>
        <v>238860</v>
      </c>
      <c r="L65" s="43">
        <f t="shared" si="1"/>
        <v>0</v>
      </c>
      <c r="M65" s="43">
        <f t="shared" si="1"/>
        <v>0</v>
      </c>
      <c r="N65" s="43">
        <f t="shared" si="1"/>
        <v>253954.36</v>
      </c>
      <c r="O65" s="43">
        <f t="shared" si="1"/>
        <v>399785.12</v>
      </c>
      <c r="P65" s="43">
        <f t="shared" si="1"/>
        <v>0</v>
      </c>
      <c r="Q65" s="43">
        <f t="shared" si="1"/>
        <v>90980</v>
      </c>
      <c r="R65" s="43">
        <f t="shared" si="1"/>
        <v>150000</v>
      </c>
      <c r="S65" s="43">
        <f t="shared" si="1"/>
        <v>0</v>
      </c>
      <c r="T65" s="75">
        <f t="shared" si="1"/>
        <v>2100997.53</v>
      </c>
      <c r="V65" s="45"/>
      <c r="W65" s="45"/>
      <c r="X65" s="45"/>
    </row>
    <row r="66" ht="14.25" customHeight="1"/>
    <row r="67" ht="14.25" customHeight="1"/>
    <row r="68" ht="14.25" customHeight="1"/>
    <row r="69" ht="14.25" customHeight="1"/>
    <row r="70" ht="14.25" customHeight="1">
      <c r="E70" s="76">
        <f>C65+D65+E65+G65</f>
        <v>3916002.19</v>
      </c>
    </row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4.29"/>
    <col customWidth="1" min="5" max="5" width="15.71"/>
    <col customWidth="1" hidden="1" min="6" max="6" width="12.43"/>
    <col customWidth="1" min="7" max="7" width="15.14"/>
    <col customWidth="1" min="8" max="8" width="14.14"/>
    <col customWidth="1" min="9" max="9" width="11.29"/>
    <col customWidth="1" min="10" max="10" width="14.14"/>
    <col customWidth="1" min="11" max="11" width="15.14"/>
    <col customWidth="1" min="12" max="12" width="12.0"/>
    <col customWidth="1" min="13" max="13" width="10.86"/>
    <col customWidth="1" min="14" max="14" width="11.29"/>
    <col customWidth="1" min="15" max="15" width="11.57"/>
    <col customWidth="1" min="16" max="17" width="8.71"/>
    <col customWidth="1" min="18" max="18" width="12.14"/>
    <col customWidth="1" min="19" max="19" width="12.57"/>
    <col customWidth="1" min="20" max="20" width="11.57"/>
    <col customWidth="1" min="21" max="21" width="56.0"/>
    <col customWidth="1" min="22" max="24" width="8.71"/>
  </cols>
  <sheetData>
    <row r="1" ht="76.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4.7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77" t="s">
        <v>112</v>
      </c>
      <c r="N2" s="47" t="s">
        <v>16</v>
      </c>
      <c r="O2" s="47" t="s">
        <v>17</v>
      </c>
      <c r="P2" s="47" t="s">
        <v>18</v>
      </c>
      <c r="Q2" s="47" t="s">
        <v>19</v>
      </c>
      <c r="R2" s="77" t="s">
        <v>113</v>
      </c>
      <c r="S2" s="77" t="s">
        <v>114</v>
      </c>
      <c r="T2" s="6"/>
      <c r="U2" s="8"/>
    </row>
    <row r="3" ht="14.25" customHeight="1">
      <c r="A3" s="83"/>
      <c r="B3" s="49"/>
      <c r="C3" s="50"/>
      <c r="D3" s="50"/>
      <c r="E3" s="50"/>
      <c r="F3" s="27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/>
      <c r="U3" s="17"/>
      <c r="V3" s="27"/>
      <c r="W3" s="27"/>
      <c r="X3" s="27"/>
    </row>
    <row r="4" ht="14.25" customHeight="1">
      <c r="A4" s="51">
        <v>45778.0</v>
      </c>
      <c r="B4" s="54" t="s">
        <v>115</v>
      </c>
      <c r="C4" s="55">
        <v>100000.0</v>
      </c>
      <c r="D4" s="53"/>
      <c r="E4" s="53">
        <f>12911.28</f>
        <v>12911.28</v>
      </c>
      <c r="F4" s="27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>
        <f>5+5+5+5+5+5+5+5+5+5+5+5+5+5+5+5+5+5+5+5+5+5+5+5+5+5+5+5+5+5+5+5+5+5+5+5+15+5+5+87.51+5+5+5+32.51+5+5+5+5+5+5+5+5+5+5+5+5+5+80+5+5+5+5+5+5+5+5+5+5+5+5+5+5+5+5+5+15+5+5+5+5+5+5+5+5+5+5+5+5+5+5+5+5+5+5+5+5+5+5+5+87.51+80+32.51+5+5+5+5+5+5+5+5+5+5+5+50+70</f>
        <v>1075.04</v>
      </c>
      <c r="U4" s="17" t="s">
        <v>20</v>
      </c>
      <c r="V4" s="27"/>
      <c r="W4" s="27"/>
      <c r="X4" s="27"/>
    </row>
    <row r="5" ht="14.25" customHeight="1">
      <c r="A5" s="51">
        <v>45778.0</v>
      </c>
      <c r="B5" s="54" t="s">
        <v>45</v>
      </c>
      <c r="C5" s="84">
        <v>2546.29</v>
      </c>
      <c r="D5" s="53"/>
      <c r="E5" s="53">
        <f>109.15+1000+104600</f>
        <v>105709.15</v>
      </c>
      <c r="F5" s="27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6">
        <v>1125.0</v>
      </c>
      <c r="U5" s="28" t="s">
        <v>116</v>
      </c>
      <c r="V5" s="27"/>
      <c r="W5" s="27"/>
      <c r="X5" s="27"/>
    </row>
    <row r="6" ht="14.25" customHeight="1">
      <c r="A6" s="51">
        <v>45779.0</v>
      </c>
      <c r="B6" s="36" t="s">
        <v>45</v>
      </c>
      <c r="C6" s="55">
        <v>11133.18</v>
      </c>
      <c r="D6" s="53"/>
      <c r="E6" s="53">
        <f>10920.97</f>
        <v>10920.97</v>
      </c>
      <c r="F6" s="2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>
        <f>1950+6900+5000+7000+38115+16800+15200+16780+19430+15200+13070+9300+6000+7720+30400+7950+54800+7950+15900+65400+65400+9300+13070+15200+19430+16800+15200</f>
        <v>515265</v>
      </c>
      <c r="U6" s="17" t="s">
        <v>25</v>
      </c>
      <c r="V6" s="27"/>
      <c r="W6" s="27"/>
      <c r="X6" s="27"/>
    </row>
    <row r="7" ht="14.25" customHeight="1">
      <c r="A7" s="51">
        <v>45779.0</v>
      </c>
      <c r="B7" s="15"/>
      <c r="C7" s="53"/>
      <c r="D7" s="53"/>
      <c r="E7" s="53">
        <f>0.5+49.5</f>
        <v>50</v>
      </c>
      <c r="F7" s="27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26">
        <v>35970.0</v>
      </c>
      <c r="U7" s="22" t="s">
        <v>117</v>
      </c>
      <c r="V7" s="27"/>
      <c r="W7" s="27"/>
      <c r="X7" s="27"/>
    </row>
    <row r="8" ht="14.25" customHeight="1">
      <c r="A8" s="51">
        <v>45780.0</v>
      </c>
      <c r="B8" s="52"/>
      <c r="C8" s="15"/>
      <c r="D8" s="53"/>
      <c r="E8" s="53">
        <f>4200+1000+1629.5</f>
        <v>6829.5</v>
      </c>
      <c r="F8" s="2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>
        <f>91.8</f>
        <v>91.8</v>
      </c>
      <c r="U8" s="17" t="s">
        <v>92</v>
      </c>
      <c r="V8" s="27"/>
      <c r="W8" s="27"/>
      <c r="X8" s="27"/>
    </row>
    <row r="9" ht="14.25" customHeight="1">
      <c r="A9" s="51">
        <v>45780.0</v>
      </c>
      <c r="B9" s="56"/>
      <c r="C9" s="53"/>
      <c r="D9" s="53"/>
      <c r="E9" s="53">
        <f>47.08+100+0.5+199.5</f>
        <v>347.08</v>
      </c>
      <c r="F9" s="27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>
        <f>2449.58+2439.34</f>
        <v>4888.92</v>
      </c>
      <c r="U9" s="17" t="s">
        <v>67</v>
      </c>
      <c r="V9" s="27"/>
      <c r="W9" s="27"/>
      <c r="X9" s="27"/>
    </row>
    <row r="10" ht="14.25" customHeight="1">
      <c r="A10" s="51">
        <v>45781.0</v>
      </c>
      <c r="B10" s="52"/>
      <c r="C10" s="53"/>
      <c r="D10" s="53"/>
      <c r="E10" s="53">
        <f>10000+12650+11.3+9.5</f>
        <v>22670.8</v>
      </c>
      <c r="F10" s="27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>
        <f>800</f>
        <v>800</v>
      </c>
      <c r="U10" s="22" t="s">
        <v>118</v>
      </c>
      <c r="V10" s="27"/>
      <c r="W10" s="27"/>
      <c r="X10" s="27"/>
    </row>
    <row r="11" ht="14.25" customHeight="1">
      <c r="A11" s="51">
        <v>45781.0</v>
      </c>
      <c r="B11" s="15"/>
      <c r="C11" s="53"/>
      <c r="D11" s="53"/>
      <c r="E11" s="53">
        <f>1352.13</f>
        <v>1352.13</v>
      </c>
      <c r="F11" s="27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>
        <f>17502.1+17502.1+6502.65+25001.9+15003.45+6502.65+17502.1+17502.1+50003.8+15003.45+16000.6+371.47+408.61+2971.72+50003.8+17502.1+15003.45+17502.1+17130.63+16000.6+15003.45+6502.65+6502.65+22030.18+17093.49+408.61+371.47</f>
        <v>408833.88</v>
      </c>
      <c r="U11" s="17" t="s">
        <v>28</v>
      </c>
      <c r="V11" s="27"/>
      <c r="W11" s="27"/>
      <c r="X11" s="27"/>
    </row>
    <row r="12" ht="14.25" customHeight="1">
      <c r="A12" s="51">
        <v>45782.0</v>
      </c>
      <c r="B12" s="52"/>
      <c r="C12" s="53"/>
      <c r="D12" s="53"/>
      <c r="E12" s="53">
        <f>0.5</f>
        <v>0.5</v>
      </c>
      <c r="F12" s="27"/>
      <c r="G12" s="53"/>
      <c r="H12" s="53"/>
      <c r="I12" s="53"/>
      <c r="J12" s="53"/>
      <c r="K12" s="53"/>
      <c r="L12" s="53"/>
      <c r="M12" s="53"/>
      <c r="N12" s="53">
        <f>13286</f>
        <v>13286</v>
      </c>
      <c r="O12" s="53"/>
      <c r="P12" s="53"/>
      <c r="Q12" s="53"/>
      <c r="R12" s="57">
        <v>294611.0</v>
      </c>
      <c r="S12" s="53"/>
      <c r="T12" s="27">
        <f>756+1423</f>
        <v>2179</v>
      </c>
      <c r="U12" s="17" t="s">
        <v>68</v>
      </c>
      <c r="V12" s="27"/>
      <c r="W12" s="27"/>
      <c r="X12" s="27"/>
    </row>
    <row r="13" ht="14.25" customHeight="1">
      <c r="A13" s="51">
        <v>45782.0</v>
      </c>
      <c r="B13" s="59" t="s">
        <v>52</v>
      </c>
      <c r="C13" s="31">
        <v>491.0</v>
      </c>
      <c r="D13" s="53"/>
      <c r="E13" s="53">
        <f>1432.05</f>
        <v>1432.05</v>
      </c>
      <c r="F13" s="27"/>
      <c r="G13" s="53"/>
      <c r="H13" s="53"/>
      <c r="I13" s="53"/>
      <c r="J13" s="53"/>
      <c r="K13" s="53"/>
      <c r="L13" s="53"/>
      <c r="M13" s="53"/>
      <c r="N13" s="53">
        <f>86138.81+3000+30816+20136.34+3638+5593.43+44668.8</f>
        <v>193991.38</v>
      </c>
      <c r="O13" s="53"/>
      <c r="P13" s="53"/>
      <c r="Q13" s="53"/>
      <c r="R13" s="53"/>
      <c r="S13" s="53"/>
      <c r="T13" s="27">
        <f>10293.25+13003.1+10638.9+37055.7+45290.3+2955.25+106.13+24.12+86.84+965.81+790.21+219.5+965.81+790.21+13003.1+45290.3+86.84+106.13+219.5+2955.25+10293.25+37055.7+10638.9+24.12</f>
        <v>242858.22</v>
      </c>
      <c r="U13" s="17" t="s">
        <v>29</v>
      </c>
      <c r="V13" s="27"/>
      <c r="W13" s="27"/>
      <c r="X13" s="27"/>
    </row>
    <row r="14" ht="14.25" customHeight="1">
      <c r="A14" s="51">
        <v>45783.0</v>
      </c>
      <c r="B14" s="15"/>
      <c r="C14" s="12"/>
      <c r="D14" s="53">
        <f>9.5</f>
        <v>9.5</v>
      </c>
      <c r="E14" s="53">
        <f>41603.6+1936</f>
        <v>43539.6</v>
      </c>
      <c r="F14" s="27"/>
      <c r="G14" s="53"/>
      <c r="H14" s="53"/>
      <c r="I14" s="53"/>
      <c r="J14" s="53"/>
      <c r="K14" s="53"/>
      <c r="L14" s="53"/>
      <c r="M14" s="53"/>
      <c r="N14" s="53">
        <f>600</f>
        <v>600</v>
      </c>
      <c r="O14" s="53"/>
      <c r="P14" s="53"/>
      <c r="Q14" s="53"/>
      <c r="R14" s="53"/>
      <c r="S14" s="53"/>
      <c r="T14" s="27">
        <f>770</f>
        <v>770</v>
      </c>
      <c r="U14" s="27" t="s">
        <v>69</v>
      </c>
      <c r="V14" s="27"/>
      <c r="W14" s="27"/>
      <c r="X14" s="27"/>
    </row>
    <row r="15" ht="14.25" customHeight="1">
      <c r="A15" s="51">
        <v>45783.0</v>
      </c>
      <c r="B15" s="56"/>
      <c r="C15" s="53"/>
      <c r="D15" s="53"/>
      <c r="E15" s="53"/>
      <c r="F15" s="27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6">
        <v>46000.0</v>
      </c>
      <c r="U15" s="22" t="s">
        <v>119</v>
      </c>
      <c r="V15" s="27"/>
      <c r="W15" s="27"/>
      <c r="X15" s="27"/>
    </row>
    <row r="16" ht="14.25" customHeight="1">
      <c r="A16" s="51">
        <v>45784.0</v>
      </c>
      <c r="B16" s="56"/>
      <c r="C16" s="53"/>
      <c r="D16" s="53"/>
      <c r="E16" s="53">
        <f>628.12</f>
        <v>628.12</v>
      </c>
      <c r="F16" s="27"/>
      <c r="G16" s="53"/>
      <c r="H16" s="53"/>
      <c r="I16" s="53"/>
      <c r="J16" s="53"/>
      <c r="K16" s="53"/>
      <c r="L16" s="53"/>
      <c r="M16" s="53">
        <f>10000</f>
        <v>10000</v>
      </c>
      <c r="N16" s="53"/>
      <c r="O16" s="53"/>
      <c r="P16" s="53"/>
      <c r="Q16" s="53"/>
      <c r="R16" s="53"/>
      <c r="S16" s="53"/>
      <c r="T16" s="27">
        <f>6750</f>
        <v>6750</v>
      </c>
      <c r="U16" s="17" t="s">
        <v>71</v>
      </c>
      <c r="V16" s="27"/>
      <c r="W16" s="27"/>
      <c r="X16" s="27"/>
    </row>
    <row r="17" ht="14.25" customHeight="1">
      <c r="A17" s="51">
        <v>45784.0</v>
      </c>
      <c r="B17" s="11"/>
      <c r="C17" s="53"/>
      <c r="D17" s="53"/>
      <c r="E17" s="53">
        <f>1699.5</f>
        <v>1699.5</v>
      </c>
      <c r="F17" s="27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>
        <f>1530</f>
        <v>1530</v>
      </c>
      <c r="U17" s="21" t="s">
        <v>72</v>
      </c>
      <c r="V17" s="27"/>
      <c r="W17" s="27"/>
      <c r="X17" s="27"/>
    </row>
    <row r="18" ht="14.25" customHeight="1">
      <c r="A18" s="51">
        <v>45785.0</v>
      </c>
      <c r="B18" s="52"/>
      <c r="C18" s="53"/>
      <c r="D18" s="53"/>
      <c r="E18" s="53">
        <f>2000+1000+5000+1500+10.5+9.5+500</f>
        <v>10020</v>
      </c>
      <c r="F18" s="27"/>
      <c r="G18" s="53"/>
      <c r="H18" s="53"/>
      <c r="I18" s="53"/>
      <c r="J18" s="53"/>
      <c r="K18" s="53"/>
      <c r="L18" s="53"/>
      <c r="M18" s="53"/>
      <c r="N18" s="53">
        <f>10800+6904.8+3000</f>
        <v>20704.8</v>
      </c>
      <c r="O18" s="53"/>
      <c r="P18" s="53"/>
      <c r="Q18" s="53"/>
      <c r="R18" s="53"/>
      <c r="S18" s="53"/>
      <c r="T18" s="26">
        <v>32760.0</v>
      </c>
      <c r="U18" s="22" t="s">
        <v>120</v>
      </c>
      <c r="V18" s="27"/>
      <c r="W18" s="27"/>
      <c r="X18" s="27"/>
    </row>
    <row r="19" ht="14.25" customHeight="1">
      <c r="A19" s="51">
        <v>45785.0</v>
      </c>
      <c r="B19" s="52"/>
      <c r="C19" s="53"/>
      <c r="D19" s="53"/>
      <c r="E19" s="53">
        <f>2971.64+226.25+462.27+500</f>
        <v>4160.16</v>
      </c>
      <c r="F19" s="27"/>
      <c r="G19" s="53"/>
      <c r="H19" s="53"/>
      <c r="I19" s="53"/>
      <c r="J19" s="53"/>
      <c r="K19" s="53">
        <f>18060+20600++20340+21690+21910</f>
        <v>102600</v>
      </c>
      <c r="L19" s="53"/>
      <c r="M19" s="53"/>
      <c r="N19" s="53"/>
      <c r="O19" s="53"/>
      <c r="P19" s="53"/>
      <c r="Q19" s="53"/>
      <c r="R19" s="53"/>
      <c r="S19" s="53"/>
      <c r="T19" s="27">
        <f>45000</f>
        <v>45000</v>
      </c>
      <c r="U19" s="17" t="s">
        <v>73</v>
      </c>
      <c r="V19" s="27"/>
      <c r="W19" s="27"/>
      <c r="X19" s="27"/>
    </row>
    <row r="20" ht="14.25" customHeight="1">
      <c r="A20" s="51">
        <v>45786.0</v>
      </c>
      <c r="B20" s="54" t="s">
        <v>121</v>
      </c>
      <c r="C20" s="55">
        <v>4211328.0</v>
      </c>
      <c r="D20" s="53"/>
      <c r="E20" s="53">
        <f>500+99.5</f>
        <v>599.5</v>
      </c>
      <c r="F20" s="27"/>
      <c r="G20" s="53"/>
      <c r="H20" s="53"/>
      <c r="I20" s="53"/>
      <c r="J20" s="53"/>
      <c r="K20" s="53">
        <f>2000+41600</f>
        <v>43600</v>
      </c>
      <c r="L20" s="53"/>
      <c r="M20" s="53"/>
      <c r="N20" s="53"/>
      <c r="O20" s="53"/>
      <c r="P20" s="53"/>
      <c r="Q20" s="53"/>
      <c r="R20" s="53"/>
      <c r="S20" s="53"/>
      <c r="T20" s="27">
        <f>139500+93000</f>
        <v>232500</v>
      </c>
      <c r="U20" s="28" t="s">
        <v>122</v>
      </c>
      <c r="V20" s="27"/>
      <c r="W20" s="27"/>
      <c r="X20" s="27"/>
    </row>
    <row r="21" ht="14.25" customHeight="1">
      <c r="A21" s="51">
        <v>45786.0</v>
      </c>
      <c r="B21" s="15"/>
      <c r="C21" s="53"/>
      <c r="D21" s="53"/>
      <c r="E21" s="53">
        <f>2000+1821.19+1317.15+254.6+1000</f>
        <v>6392.94</v>
      </c>
      <c r="F21" s="27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7">
        <f>12000</f>
        <v>12000</v>
      </c>
      <c r="U21" s="28" t="s">
        <v>123</v>
      </c>
      <c r="V21" s="27"/>
      <c r="W21" s="27"/>
      <c r="X21" s="27"/>
    </row>
    <row r="22" ht="14.25" customHeight="1">
      <c r="A22" s="51">
        <v>45787.0</v>
      </c>
      <c r="B22" s="56"/>
      <c r="C22" s="53"/>
      <c r="D22" s="53"/>
      <c r="E22" s="53">
        <f>1496.58+266</f>
        <v>1762.58</v>
      </c>
      <c r="F22" s="27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27">
        <f>1200</f>
        <v>1200</v>
      </c>
      <c r="U22" s="28" t="s">
        <v>124</v>
      </c>
      <c r="V22" s="27"/>
      <c r="W22" s="27"/>
      <c r="X22" s="27"/>
    </row>
    <row r="23" ht="14.25" customHeight="1">
      <c r="A23" s="51">
        <v>45787.0</v>
      </c>
      <c r="B23" s="52"/>
      <c r="C23" s="53"/>
      <c r="D23" s="53"/>
      <c r="E23" s="53"/>
      <c r="F23" s="27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27">
        <f>1934</f>
        <v>1934</v>
      </c>
      <c r="U23" s="17" t="s">
        <v>98</v>
      </c>
      <c r="V23" s="27"/>
      <c r="W23" s="27"/>
      <c r="X23" s="27"/>
    </row>
    <row r="24" ht="14.25" customHeight="1">
      <c r="A24" s="51">
        <v>45788.0</v>
      </c>
      <c r="B24" s="54" t="s">
        <v>125</v>
      </c>
      <c r="C24" s="55">
        <v>122000.0</v>
      </c>
      <c r="D24" s="53"/>
      <c r="E24" s="53">
        <f>949.38+235.79+8000</f>
        <v>9185.17</v>
      </c>
      <c r="F24" s="27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7"/>
      <c r="U24" s="66"/>
      <c r="V24" s="27"/>
      <c r="W24" s="27"/>
      <c r="X24" s="27"/>
    </row>
    <row r="25" ht="14.25" customHeight="1">
      <c r="A25" s="51">
        <v>45788.0</v>
      </c>
      <c r="B25" s="52"/>
      <c r="C25" s="53"/>
      <c r="D25" s="53"/>
      <c r="E25" s="53"/>
      <c r="F25" s="2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/>
      <c r="U25" s="17"/>
      <c r="V25" s="27"/>
      <c r="W25" s="27"/>
      <c r="X25" s="27"/>
    </row>
    <row r="26" ht="14.25" customHeight="1">
      <c r="A26" s="51">
        <v>45789.0</v>
      </c>
      <c r="B26" s="54" t="s">
        <v>89</v>
      </c>
      <c r="C26" s="55">
        <v>50000.0</v>
      </c>
      <c r="D26" s="53"/>
      <c r="E26" s="53">
        <f>3250.05+968.46+58.44+21000+1200</f>
        <v>26476.95</v>
      </c>
      <c r="F26" s="27"/>
      <c r="G26" s="53"/>
      <c r="H26" s="53"/>
      <c r="I26" s="53"/>
      <c r="J26" s="53"/>
      <c r="K26" s="53"/>
      <c r="L26" s="53"/>
      <c r="M26" s="53"/>
      <c r="N26" s="53">
        <f>2700+756+952.88</f>
        <v>4408.88</v>
      </c>
      <c r="O26" s="53"/>
      <c r="P26" s="53"/>
      <c r="Q26" s="53"/>
      <c r="R26" s="57">
        <v>294611.0</v>
      </c>
      <c r="S26" s="53"/>
      <c r="T26" s="27">
        <f>1445+3640</f>
        <v>5085</v>
      </c>
      <c r="U26" s="10" t="s">
        <v>79</v>
      </c>
      <c r="V26" s="27"/>
      <c r="W26" s="27"/>
      <c r="X26" s="27"/>
    </row>
    <row r="27" ht="14.25" customHeight="1">
      <c r="A27" s="51">
        <v>45789.0</v>
      </c>
      <c r="B27" s="52"/>
      <c r="C27" s="53"/>
      <c r="D27" s="53"/>
      <c r="E27" s="53">
        <f>0.5+500</f>
        <v>500.5</v>
      </c>
      <c r="F27" s="27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27">
        <f>44893.61</f>
        <v>44893.61</v>
      </c>
      <c r="U27" s="33" t="s">
        <v>126</v>
      </c>
      <c r="V27" s="27"/>
      <c r="W27" s="27"/>
      <c r="X27" s="27"/>
    </row>
    <row r="28" ht="14.25" customHeight="1">
      <c r="A28" s="51">
        <v>45790.0</v>
      </c>
      <c r="B28" s="52"/>
      <c r="C28" s="53"/>
      <c r="D28" s="53"/>
      <c r="E28" s="53">
        <f>100+10000</f>
        <v>10100</v>
      </c>
      <c r="F28" s="27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27">
        <f>73500+78540</f>
        <v>152040</v>
      </c>
      <c r="U28" s="10" t="s">
        <v>39</v>
      </c>
      <c r="V28" s="27"/>
      <c r="W28" s="27"/>
      <c r="X28" s="27"/>
    </row>
    <row r="29" ht="14.25" customHeight="1">
      <c r="A29" s="51">
        <v>45790.0</v>
      </c>
      <c r="B29" s="52"/>
      <c r="C29" s="53"/>
      <c r="D29" s="53"/>
      <c r="E29" s="53">
        <f>1245+149.5+9.5</f>
        <v>1404</v>
      </c>
      <c r="F29" s="27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27">
        <f>61985</f>
        <v>61985</v>
      </c>
      <c r="U29" s="28" t="s">
        <v>127</v>
      </c>
      <c r="V29" s="27"/>
      <c r="W29" s="27"/>
      <c r="X29" s="27"/>
    </row>
    <row r="30" ht="14.25" customHeight="1">
      <c r="A30" s="51">
        <v>45791.0</v>
      </c>
      <c r="B30" s="52"/>
      <c r="C30" s="53"/>
      <c r="D30" s="53"/>
      <c r="E30" s="53">
        <f>0.5+999.5+24.5</f>
        <v>1024.5</v>
      </c>
      <c r="F30" s="27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27">
        <f>792</f>
        <v>792</v>
      </c>
      <c r="U30" s="10" t="s">
        <v>81</v>
      </c>
      <c r="V30" s="27"/>
      <c r="W30" s="27"/>
      <c r="X30" s="27"/>
    </row>
    <row r="31" ht="14.25" customHeight="1">
      <c r="A31" s="51">
        <v>45791.0</v>
      </c>
      <c r="B31" s="54" t="s">
        <v>128</v>
      </c>
      <c r="C31" s="55">
        <v>560000.0</v>
      </c>
      <c r="D31" s="53"/>
      <c r="E31" s="53">
        <f>1325.59</f>
        <v>1325.59</v>
      </c>
      <c r="F31" s="27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7">
        <f>1026.64</f>
        <v>1026.64</v>
      </c>
      <c r="U31" s="33" t="s">
        <v>129</v>
      </c>
      <c r="V31" s="27"/>
      <c r="W31" s="27"/>
      <c r="X31" s="27"/>
    </row>
    <row r="32" ht="14.25" customHeight="1">
      <c r="A32" s="51">
        <v>45792.0</v>
      </c>
      <c r="B32" s="54" t="s">
        <v>130</v>
      </c>
      <c r="C32" s="55">
        <v>2250161.1</v>
      </c>
      <c r="D32" s="53"/>
      <c r="E32" s="53">
        <f>612.27+341.49+249.5+2000+0.5+199.5</f>
        <v>3403.26</v>
      </c>
      <c r="F32" s="27"/>
      <c r="G32" s="53"/>
      <c r="H32" s="53"/>
      <c r="I32" s="53">
        <f>354432+112000+136000</f>
        <v>602432</v>
      </c>
      <c r="J32" s="53"/>
      <c r="K32" s="53">
        <f>57000</f>
        <v>57000</v>
      </c>
      <c r="L32" s="53"/>
      <c r="M32" s="53"/>
      <c r="N32" s="53">
        <f>15071.48</f>
        <v>15071.48</v>
      </c>
      <c r="O32" s="53"/>
      <c r="P32" s="53"/>
      <c r="Q32" s="53"/>
      <c r="R32" s="53"/>
      <c r="S32" s="53"/>
      <c r="T32" s="27">
        <f>1485+2176.67+3183</f>
        <v>6844.67</v>
      </c>
      <c r="U32" s="21" t="s">
        <v>21</v>
      </c>
      <c r="V32" s="27"/>
      <c r="W32" s="27"/>
      <c r="X32" s="27"/>
    </row>
    <row r="33" ht="14.25" customHeight="1">
      <c r="A33" s="51">
        <v>45792.0</v>
      </c>
      <c r="B33" s="54" t="s">
        <v>131</v>
      </c>
      <c r="C33" s="55">
        <v>47380.0</v>
      </c>
      <c r="D33" s="53"/>
      <c r="E33" s="53">
        <f>6247.08</f>
        <v>6247.08</v>
      </c>
      <c r="F33" s="27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>
        <f>100000</f>
        <v>100000</v>
      </c>
      <c r="U33" s="33" t="s">
        <v>132</v>
      </c>
      <c r="V33" s="27"/>
      <c r="W33" s="27"/>
      <c r="X33" s="27"/>
    </row>
    <row r="34" ht="14.25" customHeight="1">
      <c r="A34" s="51">
        <v>45793.0</v>
      </c>
      <c r="B34" s="54" t="s">
        <v>133</v>
      </c>
      <c r="C34" s="55">
        <v>3246.82</v>
      </c>
      <c r="D34" s="53"/>
      <c r="E34" s="53">
        <f>206+4694.71+295.69+6200</f>
        <v>11396.4</v>
      </c>
      <c r="F34" s="27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27">
        <f>4200</f>
        <v>4200</v>
      </c>
      <c r="U34" s="10" t="s">
        <v>101</v>
      </c>
      <c r="V34" s="27"/>
      <c r="W34" s="27"/>
      <c r="X34" s="27"/>
    </row>
    <row r="35" ht="14.25" customHeight="1">
      <c r="A35" s="51">
        <v>45793.0</v>
      </c>
      <c r="B35" s="55" t="s">
        <v>52</v>
      </c>
      <c r="C35" s="55">
        <v>196.4</v>
      </c>
      <c r="D35" s="53"/>
      <c r="E35" s="53">
        <f>100+299.5+9.5+2499.5</f>
        <v>2908.5</v>
      </c>
      <c r="F35" s="27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7">
        <f>3521.7</f>
        <v>3521.7</v>
      </c>
      <c r="U35" s="21" t="s">
        <v>84</v>
      </c>
      <c r="V35" s="27"/>
      <c r="W35" s="27"/>
      <c r="X35" s="27"/>
    </row>
    <row r="36" ht="14.25" customHeight="1">
      <c r="A36" s="51">
        <v>45794.0</v>
      </c>
      <c r="B36" s="53"/>
      <c r="C36" s="53"/>
      <c r="D36" s="53"/>
      <c r="E36" s="53">
        <f>3457.42+4.56+170</f>
        <v>3631.98</v>
      </c>
      <c r="F36" s="27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27">
        <f>8500+26200+52100+51000+17700</f>
        <v>155500</v>
      </c>
      <c r="U36" s="10" t="s">
        <v>85</v>
      </c>
      <c r="V36" s="27"/>
      <c r="W36" s="27"/>
      <c r="X36" s="27"/>
    </row>
    <row r="37" ht="14.25" customHeight="1">
      <c r="A37" s="51">
        <v>45794.0</v>
      </c>
      <c r="B37" s="52"/>
      <c r="C37" s="53"/>
      <c r="D37" s="53"/>
      <c r="E37" s="53">
        <f>400+9.5</f>
        <v>409.5</v>
      </c>
      <c r="F37" s="27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27">
        <f>1489</f>
        <v>1489</v>
      </c>
      <c r="U37" s="33" t="s">
        <v>134</v>
      </c>
      <c r="V37" s="27"/>
      <c r="W37" s="27"/>
      <c r="X37" s="27"/>
    </row>
    <row r="38" ht="14.25" customHeight="1">
      <c r="A38" s="51">
        <v>45795.0</v>
      </c>
      <c r="B38" s="53"/>
      <c r="C38" s="53"/>
      <c r="D38" s="53"/>
      <c r="E38" s="53">
        <f>480.01+6973.23+1250</f>
        <v>8703.24</v>
      </c>
      <c r="F38" s="27"/>
      <c r="G38" s="53"/>
      <c r="H38" s="53"/>
      <c r="I38" s="53"/>
      <c r="J38" s="53"/>
      <c r="K38" s="53"/>
      <c r="L38" s="15"/>
      <c r="M38" s="53"/>
      <c r="N38" s="53"/>
      <c r="O38" s="53"/>
      <c r="P38" s="53"/>
      <c r="Q38" s="53"/>
      <c r="R38" s="53"/>
      <c r="S38" s="53"/>
      <c r="T38" s="27">
        <f>10414.04</f>
        <v>10414.04</v>
      </c>
      <c r="U38" s="10" t="s">
        <v>65</v>
      </c>
      <c r="V38" s="27"/>
      <c r="W38" s="27"/>
      <c r="X38" s="27"/>
    </row>
    <row r="39" ht="14.25" customHeight="1">
      <c r="A39" s="51">
        <v>45795.0</v>
      </c>
      <c r="B39" s="52"/>
      <c r="C39" s="53"/>
      <c r="D39" s="53"/>
      <c r="E39" s="53">
        <f>49.5+1000+100+0.5+0.5</f>
        <v>1150.5</v>
      </c>
      <c r="F39" s="27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8">
        <f>805</f>
        <v>805</v>
      </c>
      <c r="U39" s="10" t="s">
        <v>24</v>
      </c>
      <c r="V39" s="27"/>
      <c r="W39" s="27"/>
      <c r="X39" s="27"/>
    </row>
    <row r="40" ht="14.25" customHeight="1">
      <c r="A40" s="51">
        <v>45796.0</v>
      </c>
      <c r="B40" s="53"/>
      <c r="C40" s="53"/>
      <c r="D40" s="53"/>
      <c r="E40" s="53">
        <f>2127.48</f>
        <v>2127.48</v>
      </c>
      <c r="F40" s="27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6">
        <v>7200.0</v>
      </c>
      <c r="U40" s="33" t="s">
        <v>135</v>
      </c>
      <c r="V40" s="27"/>
      <c r="W40" s="27"/>
      <c r="X40" s="27"/>
    </row>
    <row r="41" ht="14.25" customHeight="1">
      <c r="A41" s="51">
        <v>45796.0</v>
      </c>
      <c r="B41" s="53"/>
      <c r="C41" s="53"/>
      <c r="D41" s="53"/>
      <c r="E41" s="53"/>
      <c r="F41" s="27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>
        <f>6400</f>
        <v>6400</v>
      </c>
      <c r="U41" s="33" t="s">
        <v>136</v>
      </c>
      <c r="V41" s="27"/>
      <c r="W41" s="27"/>
      <c r="X41" s="27"/>
    </row>
    <row r="42" ht="14.25" customHeight="1">
      <c r="A42" s="51">
        <v>45797.0</v>
      </c>
      <c r="B42" s="52"/>
      <c r="C42" s="53"/>
      <c r="D42" s="53"/>
      <c r="E42" s="53">
        <f>2022.48+2745</f>
        <v>4767.48</v>
      </c>
      <c r="F42" s="27"/>
      <c r="G42" s="53"/>
      <c r="H42" s="53"/>
      <c r="I42" s="53"/>
      <c r="J42" s="53"/>
      <c r="K42" s="53"/>
      <c r="L42" s="53"/>
      <c r="M42" s="53"/>
      <c r="N42" s="53">
        <f>3233</f>
        <v>3233</v>
      </c>
      <c r="O42" s="53"/>
      <c r="P42" s="53"/>
      <c r="Q42" s="53"/>
      <c r="R42" s="53"/>
      <c r="S42" s="53"/>
      <c r="T42" s="27">
        <f>30753.25</f>
        <v>30753.25</v>
      </c>
      <c r="U42" s="33" t="s">
        <v>137</v>
      </c>
      <c r="V42" s="27"/>
      <c r="W42" s="27"/>
      <c r="X42" s="27"/>
    </row>
    <row r="43" ht="14.25" customHeight="1">
      <c r="A43" s="51">
        <v>45797.0</v>
      </c>
      <c r="B43" s="52"/>
      <c r="C43" s="53"/>
      <c r="D43" s="53"/>
      <c r="E43" s="53">
        <f>1599.5+300+200+300+4.5+299.5+9.5+19999.5</f>
        <v>22712.5</v>
      </c>
      <c r="F43" s="27"/>
      <c r="G43" s="53"/>
      <c r="H43" s="53"/>
      <c r="I43" s="53">
        <f>113400</f>
        <v>113400</v>
      </c>
      <c r="J43" s="53"/>
      <c r="K43" s="53"/>
      <c r="L43" s="53"/>
      <c r="M43" s="53"/>
      <c r="N43" s="53"/>
      <c r="O43" s="53"/>
      <c r="P43" s="53"/>
      <c r="Q43" s="53"/>
      <c r="R43" s="53"/>
      <c r="S43" s="55">
        <v>47380.0</v>
      </c>
      <c r="T43" s="27"/>
      <c r="U43" s="21"/>
      <c r="V43" s="27"/>
      <c r="W43" s="27"/>
      <c r="X43" s="27"/>
    </row>
    <row r="44" ht="14.25" customHeight="1">
      <c r="A44" s="51">
        <v>45798.0</v>
      </c>
      <c r="B44" s="15"/>
      <c r="C44" s="15"/>
      <c r="D44" s="11"/>
      <c r="E44" s="15">
        <f>1762.49</f>
        <v>1762.49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U44" s="10"/>
    </row>
    <row r="45" ht="14.25" customHeight="1">
      <c r="A45" s="51">
        <v>45798.0</v>
      </c>
      <c r="B45" s="15"/>
      <c r="C45" s="15"/>
      <c r="D45" s="11"/>
      <c r="E45" s="11">
        <f>9.5+100+3000+350</f>
        <v>3459.5</v>
      </c>
      <c r="G45" s="15"/>
      <c r="H45" s="15"/>
      <c r="I45" s="15"/>
      <c r="J45" s="15"/>
      <c r="K45" s="15"/>
      <c r="L45" s="15"/>
      <c r="M45" s="11"/>
      <c r="N45" s="15"/>
      <c r="O45" s="15"/>
      <c r="P45" s="15"/>
      <c r="Q45" s="15"/>
      <c r="R45" s="11"/>
      <c r="S45" s="15"/>
      <c r="U45" s="21"/>
    </row>
    <row r="46" ht="14.25" customHeight="1">
      <c r="A46" s="51">
        <v>45799.0</v>
      </c>
      <c r="B46" s="15"/>
      <c r="C46" s="15"/>
      <c r="D46" s="11"/>
      <c r="E46" s="11">
        <f>5445.43</f>
        <v>5445.43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1"/>
      <c r="S46" s="15"/>
      <c r="U46" s="10"/>
    </row>
    <row r="47" ht="14.25" customHeight="1">
      <c r="A47" s="51">
        <v>45799.0</v>
      </c>
      <c r="B47" s="15"/>
      <c r="C47" s="15"/>
      <c r="D47" s="11"/>
      <c r="E47" s="15">
        <f>100+1000+0.5</f>
        <v>1100.5</v>
      </c>
      <c r="G47" s="15"/>
      <c r="H47" s="15">
        <f>283050</f>
        <v>283050</v>
      </c>
      <c r="I47" s="15">
        <f>4595+1659.93+4595</f>
        <v>10849.93</v>
      </c>
      <c r="J47" s="15"/>
      <c r="K47" s="15">
        <f>33750</f>
        <v>33750</v>
      </c>
      <c r="L47" s="15"/>
      <c r="M47" s="11"/>
      <c r="N47" s="15">
        <f>1532.48+867</f>
        <v>2399.48</v>
      </c>
      <c r="O47" s="15"/>
      <c r="P47" s="15"/>
      <c r="Q47" s="15">
        <f>50000</f>
        <v>50000</v>
      </c>
      <c r="R47" s="11"/>
      <c r="S47" s="15"/>
      <c r="U47" s="21"/>
    </row>
    <row r="48" ht="14.25" customHeight="1">
      <c r="A48" s="51">
        <v>45800.0</v>
      </c>
      <c r="B48" s="59" t="s">
        <v>48</v>
      </c>
      <c r="C48" s="59">
        <v>9506.8</v>
      </c>
      <c r="D48" s="11"/>
      <c r="E48" s="15">
        <f>5406.98</f>
        <v>5406.98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U48" s="10"/>
    </row>
    <row r="49" ht="14.25" customHeight="1">
      <c r="A49" s="51">
        <v>45800.0</v>
      </c>
      <c r="B49" s="59" t="s">
        <v>138</v>
      </c>
      <c r="C49" s="59">
        <v>392790.0</v>
      </c>
      <c r="D49" s="11"/>
      <c r="E49" s="11">
        <f>2000+250+9.5+16200</f>
        <v>18459.5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U49" s="14"/>
    </row>
    <row r="50" ht="14.25" customHeight="1">
      <c r="A50" s="51">
        <v>45801.0</v>
      </c>
      <c r="B50" s="85"/>
      <c r="C50" s="11"/>
      <c r="D50" s="11"/>
      <c r="E50" s="15">
        <f>2047.88</f>
        <v>2047.88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U50" s="14"/>
    </row>
    <row r="51" ht="14.25" customHeight="1">
      <c r="A51" s="51">
        <v>45801.0</v>
      </c>
      <c r="B51" s="15"/>
      <c r="C51" s="15"/>
      <c r="D51" s="11"/>
      <c r="E51" s="11">
        <f>0.5+9.5+0.5+0.5</f>
        <v>11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0"/>
      <c r="U51" s="10"/>
    </row>
    <row r="52" ht="14.25" customHeight="1">
      <c r="A52" s="51">
        <v>45802.0</v>
      </c>
      <c r="B52" s="15"/>
      <c r="C52" s="15"/>
      <c r="D52" s="11"/>
      <c r="E52" s="15">
        <f>3198.4</f>
        <v>3198.4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ht="14.25" customHeight="1">
      <c r="A53" s="51">
        <v>45802.0</v>
      </c>
      <c r="B53" s="15"/>
      <c r="C53" s="15"/>
      <c r="D53" s="11"/>
      <c r="E53" s="15">
        <f>300+99.5+0.5+0.5+1000</f>
        <v>1400.5</v>
      </c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U53" s="10"/>
    </row>
    <row r="54" ht="14.25" customHeight="1">
      <c r="A54" s="51">
        <v>45803.0</v>
      </c>
      <c r="B54" s="15"/>
      <c r="C54" s="15"/>
      <c r="D54" s="11"/>
      <c r="E54" s="15">
        <f>17750+1103.82+19.09</f>
        <v>18872.91</v>
      </c>
      <c r="G54" s="15"/>
      <c r="H54" s="15"/>
      <c r="I54" s="15">
        <f>120000</f>
        <v>120000</v>
      </c>
      <c r="J54" s="15"/>
      <c r="K54" s="15">
        <f>16200</f>
        <v>16200</v>
      </c>
      <c r="L54" s="15"/>
      <c r="M54" s="15"/>
      <c r="N54" s="15">
        <f>2816</f>
        <v>2816</v>
      </c>
      <c r="O54" s="15"/>
      <c r="P54" s="15"/>
      <c r="Q54" s="15"/>
      <c r="R54" s="15">
        <f>83290+128900+20400+105300+54900</f>
        <v>392790</v>
      </c>
      <c r="S54" s="15"/>
      <c r="U54" s="21"/>
    </row>
    <row r="55" ht="14.25" customHeight="1">
      <c r="A55" s="51">
        <v>45803.0</v>
      </c>
      <c r="B55" s="15"/>
      <c r="C55" s="15"/>
      <c r="D55" s="11"/>
      <c r="E55" s="11">
        <f>199.5+200</f>
        <v>399.5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1"/>
      <c r="S55" s="15"/>
      <c r="T55" s="10"/>
      <c r="U55" s="10"/>
    </row>
    <row r="56" ht="14.25" customHeight="1">
      <c r="A56" s="51">
        <v>45804.0</v>
      </c>
      <c r="B56" s="15"/>
      <c r="C56" s="15"/>
      <c r="D56" s="11"/>
      <c r="E56" s="15">
        <f>1911.08</f>
        <v>1911.08</v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U56" s="21"/>
    </row>
    <row r="57" ht="14.25" customHeight="1">
      <c r="A57" s="51">
        <v>45804.0</v>
      </c>
      <c r="B57" s="15"/>
      <c r="C57" s="15"/>
      <c r="D57" s="11"/>
      <c r="E57" s="15">
        <f>499.5</f>
        <v>499.5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0"/>
      <c r="U57" s="10"/>
    </row>
    <row r="58" ht="14.25" customHeight="1">
      <c r="A58" s="51">
        <v>45805.0</v>
      </c>
      <c r="B58" s="59" t="s">
        <v>139</v>
      </c>
      <c r="C58" s="59">
        <v>10000.0</v>
      </c>
      <c r="D58" s="11"/>
      <c r="E58" s="11">
        <f>2000+1090+101</f>
        <v>3191</v>
      </c>
      <c r="G58" s="15"/>
      <c r="H58" s="15"/>
      <c r="I58" s="11"/>
      <c r="J58" s="15"/>
      <c r="K58" s="15">
        <f>125100+125100</f>
        <v>250200</v>
      </c>
      <c r="L58" s="15"/>
      <c r="M58" s="15"/>
      <c r="N58" s="15">
        <f>14575</f>
        <v>14575</v>
      </c>
      <c r="O58" s="15"/>
      <c r="P58" s="15"/>
      <c r="Q58" s="15"/>
      <c r="R58" s="11"/>
      <c r="S58" s="15"/>
    </row>
    <row r="59" ht="14.25" customHeight="1">
      <c r="A59" s="51">
        <v>45805.0</v>
      </c>
      <c r="B59" s="15"/>
      <c r="C59" s="15"/>
      <c r="D59" s="11"/>
      <c r="E59" s="15">
        <f>6000</f>
        <v>6000</v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0"/>
      <c r="U59" s="10"/>
    </row>
    <row r="60" ht="14.25" customHeight="1">
      <c r="A60" s="51">
        <v>45806.0</v>
      </c>
      <c r="B60" s="15"/>
      <c r="C60" s="15"/>
      <c r="D60" s="11">
        <f>15000+999.5</f>
        <v>15999.5</v>
      </c>
      <c r="E60" s="15">
        <f>1006.1+763.6</f>
        <v>1769.7</v>
      </c>
      <c r="G60" s="15"/>
      <c r="H60" s="15"/>
      <c r="I60" s="15"/>
      <c r="J60" s="15"/>
      <c r="K60" s="11"/>
      <c r="L60" s="15"/>
      <c r="M60" s="11"/>
      <c r="N60" s="15"/>
      <c r="O60" s="15"/>
      <c r="P60" s="15"/>
      <c r="Q60" s="15"/>
      <c r="R60" s="15"/>
      <c r="S60" s="15"/>
      <c r="T60" s="10"/>
      <c r="U60" s="10"/>
    </row>
    <row r="61" ht="14.25" customHeight="1">
      <c r="A61" s="51">
        <v>45806.0</v>
      </c>
      <c r="B61" s="15"/>
      <c r="C61" s="15"/>
      <c r="D61" s="11"/>
      <c r="E61" s="11">
        <f>5000</f>
        <v>5000</v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0"/>
      <c r="U61" s="10"/>
    </row>
    <row r="62" ht="14.25" customHeight="1">
      <c r="A62" s="51">
        <v>45807.0</v>
      </c>
      <c r="B62" s="59" t="s">
        <v>140</v>
      </c>
      <c r="C62" s="59">
        <v>55180.0</v>
      </c>
      <c r="D62" s="11"/>
      <c r="E62" s="15">
        <f>1325.53+126.36+32893</f>
        <v>34344.89</v>
      </c>
      <c r="G62" s="15"/>
      <c r="H62" s="15"/>
      <c r="I62" s="11"/>
      <c r="J62" s="15"/>
      <c r="K62" s="15">
        <f>17750</f>
        <v>17750</v>
      </c>
      <c r="L62" s="15"/>
      <c r="M62" s="11"/>
      <c r="N62" s="15">
        <f>5250+1007.02+193.55+1504.06</f>
        <v>7954.63</v>
      </c>
      <c r="O62" s="15"/>
      <c r="P62" s="15"/>
      <c r="Q62" s="15"/>
      <c r="R62" s="15"/>
      <c r="S62" s="15"/>
      <c r="T62" s="10"/>
      <c r="U62" s="10"/>
    </row>
    <row r="63" ht="14.25" customHeight="1">
      <c r="A63" s="51">
        <v>45807.0</v>
      </c>
      <c r="B63" s="59" t="s">
        <v>64</v>
      </c>
      <c r="C63" s="59">
        <v>15000.0</v>
      </c>
      <c r="D63" s="11"/>
      <c r="E63" s="15">
        <f>106+25000+1.87</f>
        <v>25107.87</v>
      </c>
      <c r="G63" s="15"/>
      <c r="H63" s="15"/>
      <c r="I63" s="15"/>
      <c r="J63" s="15"/>
      <c r="K63" s="15">
        <f>99802</f>
        <v>99802</v>
      </c>
      <c r="L63" s="15"/>
      <c r="M63" s="15"/>
      <c r="N63" s="15"/>
      <c r="O63" s="15"/>
      <c r="P63" s="15"/>
      <c r="Q63" s="15"/>
      <c r="R63" s="15">
        <f>10000</f>
        <v>10000</v>
      </c>
      <c r="S63" s="15"/>
      <c r="T63" s="10"/>
      <c r="U63" s="10"/>
    </row>
    <row r="64" ht="14.25" customHeight="1">
      <c r="A64" s="51">
        <v>45808.0</v>
      </c>
      <c r="B64" s="15"/>
      <c r="C64" s="15"/>
      <c r="D64" s="11"/>
      <c r="E64" s="11">
        <f>121597.69+2000+84.71+0.42</f>
        <v>123682.82</v>
      </c>
      <c r="G64" s="15"/>
      <c r="H64" s="15"/>
      <c r="I64" s="15"/>
      <c r="J64" s="15"/>
      <c r="K64" s="11"/>
      <c r="L64" s="15"/>
      <c r="M64" s="11"/>
      <c r="N64" s="15"/>
      <c r="O64" s="15"/>
      <c r="P64" s="15"/>
      <c r="Q64" s="15"/>
      <c r="R64" s="36">
        <v>25000.0</v>
      </c>
      <c r="S64" s="15"/>
    </row>
    <row r="65" ht="14.25" customHeight="1">
      <c r="A65" s="71">
        <v>45808.0</v>
      </c>
      <c r="B65" s="38"/>
      <c r="C65" s="38"/>
      <c r="D65" s="38"/>
      <c r="E65" s="38">
        <f>8910.26+36048.7</f>
        <v>44958.96</v>
      </c>
      <c r="G65" s="37">
        <v>20.38</v>
      </c>
      <c r="H65" s="38"/>
      <c r="I65" s="38"/>
      <c r="J65" s="40"/>
      <c r="K65" s="40"/>
      <c r="L65" s="40"/>
      <c r="M65" s="38"/>
      <c r="N65" s="40"/>
      <c r="O65" s="40"/>
      <c r="P65" s="40"/>
      <c r="Q65" s="40"/>
      <c r="R65" s="38"/>
      <c r="S65" s="40"/>
    </row>
    <row r="66" ht="14.25" customHeight="1">
      <c r="A66" s="86" t="s">
        <v>47</v>
      </c>
      <c r="B66" s="87"/>
      <c r="C66" s="87">
        <f t="shared" ref="C66:T66" si="1">SUM(C4:C65)</f>
        <v>7840959.59</v>
      </c>
      <c r="D66" s="87">
        <f t="shared" si="1"/>
        <v>16009</v>
      </c>
      <c r="E66" s="87">
        <f t="shared" si="1"/>
        <v>656530.9</v>
      </c>
      <c r="F66" s="87">
        <f t="shared" si="1"/>
        <v>0</v>
      </c>
      <c r="G66" s="87">
        <f t="shared" si="1"/>
        <v>20.38</v>
      </c>
      <c r="H66" s="87">
        <f t="shared" si="1"/>
        <v>283050</v>
      </c>
      <c r="I66" s="87">
        <f t="shared" si="1"/>
        <v>846681.93</v>
      </c>
      <c r="J66" s="87">
        <f t="shared" si="1"/>
        <v>0</v>
      </c>
      <c r="K66" s="87">
        <f t="shared" si="1"/>
        <v>620902</v>
      </c>
      <c r="L66" s="87">
        <f t="shared" si="1"/>
        <v>0</v>
      </c>
      <c r="M66" s="87">
        <f t="shared" si="1"/>
        <v>10000</v>
      </c>
      <c r="N66" s="87">
        <f t="shared" si="1"/>
        <v>279040.65</v>
      </c>
      <c r="O66" s="87">
        <f t="shared" si="1"/>
        <v>0</v>
      </c>
      <c r="P66" s="87">
        <f t="shared" si="1"/>
        <v>0</v>
      </c>
      <c r="Q66" s="87">
        <f t="shared" si="1"/>
        <v>50000</v>
      </c>
      <c r="R66" s="87">
        <f t="shared" si="1"/>
        <v>1017012</v>
      </c>
      <c r="S66" s="87">
        <f t="shared" si="1"/>
        <v>47380</v>
      </c>
      <c r="T66" s="88">
        <f t="shared" si="1"/>
        <v>2186480.77</v>
      </c>
      <c r="U66" s="88"/>
      <c r="V66" s="45"/>
      <c r="W66" s="45"/>
      <c r="X66" s="45"/>
    </row>
    <row r="67" ht="14.25" customHeight="1">
      <c r="A67" s="89"/>
    </row>
    <row r="68" ht="14.25" customHeight="1">
      <c r="A68" s="89"/>
    </row>
    <row r="69" ht="14.25" customHeight="1">
      <c r="A69" s="89"/>
    </row>
    <row r="70" ht="14.25" customHeight="1">
      <c r="A70" s="89"/>
    </row>
    <row r="71" ht="14.25" customHeight="1">
      <c r="A71" s="89"/>
    </row>
    <row r="72" ht="14.25" customHeight="1">
      <c r="A72" s="89"/>
      <c r="E72" s="76">
        <f>C66+D66+E66</f>
        <v>8513499.49</v>
      </c>
    </row>
    <row r="73" ht="14.25" customHeight="1">
      <c r="A73" s="89"/>
    </row>
    <row r="74" ht="14.25" customHeight="1">
      <c r="A74" s="89"/>
    </row>
    <row r="75" ht="14.25" customHeight="1">
      <c r="A75" s="89"/>
    </row>
    <row r="76" ht="14.25" customHeight="1">
      <c r="A76" s="89"/>
    </row>
    <row r="77" ht="14.25" customHeight="1">
      <c r="A77" s="89"/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4.25" customHeight="1">
      <c r="A265" s="89"/>
    </row>
    <row r="266" ht="14.25" customHeight="1">
      <c r="A266" s="89"/>
    </row>
    <row r="267" ht="15.75" customHeight="1">
      <c r="A267" s="89"/>
    </row>
    <row r="268" ht="15.75" customHeight="1">
      <c r="A268" s="89"/>
    </row>
    <row r="269" ht="15.75" customHeight="1">
      <c r="A269" s="89"/>
    </row>
    <row r="270" ht="15.75" customHeight="1">
      <c r="A270" s="89"/>
    </row>
    <row r="271" ht="15.7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  <row r="971" ht="15.75" customHeight="1">
      <c r="A971" s="89"/>
    </row>
    <row r="972" ht="15.75" customHeight="1">
      <c r="A972" s="89"/>
    </row>
    <row r="973" ht="15.75" customHeight="1">
      <c r="A973" s="89"/>
    </row>
    <row r="974" ht="15.75" customHeight="1">
      <c r="A974" s="89"/>
    </row>
    <row r="975" ht="15.75" customHeight="1">
      <c r="A975" s="89"/>
    </row>
    <row r="976" ht="15.75" customHeight="1">
      <c r="A976" s="89"/>
    </row>
    <row r="977" ht="15.75" customHeight="1">
      <c r="A977" s="89"/>
    </row>
    <row r="978" ht="15.75" customHeight="1">
      <c r="A978" s="89"/>
    </row>
    <row r="979" ht="15.75" customHeight="1">
      <c r="A979" s="89"/>
    </row>
    <row r="980" ht="15.75" customHeight="1">
      <c r="A980" s="89"/>
    </row>
    <row r="981" ht="15.75" customHeight="1">
      <c r="A981" s="89"/>
    </row>
    <row r="982" ht="15.75" customHeight="1">
      <c r="A982" s="89"/>
    </row>
    <row r="983" ht="15.75" customHeight="1">
      <c r="A983" s="89"/>
    </row>
    <row r="984" ht="15.75" customHeight="1">
      <c r="A984" s="89"/>
    </row>
    <row r="985" ht="15.75" customHeight="1">
      <c r="A985" s="89"/>
    </row>
    <row r="986" ht="15.75" customHeight="1">
      <c r="A986" s="89"/>
    </row>
    <row r="987" ht="15.75" customHeight="1">
      <c r="A987" s="89"/>
    </row>
    <row r="988" ht="15.75" customHeight="1">
      <c r="A988" s="89"/>
    </row>
    <row r="989" ht="15.75" customHeight="1">
      <c r="A989" s="89"/>
    </row>
    <row r="990" ht="15.75" customHeight="1">
      <c r="A990" s="89"/>
    </row>
    <row r="991" ht="15.75" customHeight="1">
      <c r="A991" s="89"/>
    </row>
    <row r="992" ht="15.75" customHeight="1">
      <c r="A992" s="89"/>
    </row>
    <row r="993" ht="15.75" customHeight="1">
      <c r="A993" s="89"/>
    </row>
    <row r="994" ht="15.75" customHeight="1">
      <c r="A994" s="89"/>
    </row>
    <row r="995" ht="15.75" customHeight="1">
      <c r="A995" s="89"/>
    </row>
    <row r="996" ht="15.75" customHeight="1">
      <c r="A996" s="89"/>
    </row>
    <row r="997" ht="15.75" customHeight="1">
      <c r="A997" s="89"/>
    </row>
    <row r="998" ht="15.75" customHeight="1">
      <c r="A998" s="89"/>
    </row>
    <row r="999" ht="15.75" customHeight="1">
      <c r="A999" s="89"/>
    </row>
    <row r="1000" ht="15.75" customHeight="1">
      <c r="A1000" s="89"/>
    </row>
    <row r="1001" ht="15.75" customHeight="1">
      <c r="A1001" s="89"/>
    </row>
    <row r="1002" ht="15.75" customHeight="1">
      <c r="A1002" s="89"/>
    </row>
    <row r="1003" ht="15.75" customHeight="1">
      <c r="A1003" s="89"/>
    </row>
    <row r="1004" ht="15.75" customHeight="1">
      <c r="A1004" s="89"/>
    </row>
    <row r="1005" ht="15.75" customHeight="1">
      <c r="A1005" s="89"/>
    </row>
    <row r="1006" ht="15.75" customHeight="1">
      <c r="A1006" s="89"/>
    </row>
    <row r="1007" ht="15.75" customHeight="1">
      <c r="A1007" s="89"/>
    </row>
    <row r="1008" ht="15.75" customHeight="1">
      <c r="A1008" s="89"/>
    </row>
    <row r="1009" ht="15.75" customHeight="1">
      <c r="A1009" s="89"/>
    </row>
    <row r="1010" ht="15.75" customHeight="1">
      <c r="A1010" s="89"/>
    </row>
    <row r="1011" ht="15.75" customHeight="1">
      <c r="A1011" s="89"/>
    </row>
    <row r="1012" ht="15.75" customHeight="1">
      <c r="A1012" s="89"/>
    </row>
    <row r="1013" ht="15.75" customHeight="1">
      <c r="A1013" s="89"/>
    </row>
    <row r="1014" ht="15.75" customHeight="1">
      <c r="A1014" s="89"/>
    </row>
    <row r="1015" ht="15.75" customHeight="1">
      <c r="A1015" s="89"/>
    </row>
    <row r="1016" ht="15.75" customHeight="1">
      <c r="A1016" s="89"/>
    </row>
    <row r="1017" ht="15.75" customHeight="1">
      <c r="A1017" s="89"/>
    </row>
    <row r="1018" ht="15.75" customHeight="1">
      <c r="A1018" s="89"/>
    </row>
    <row r="1019" ht="15.75" customHeight="1">
      <c r="A1019" s="89"/>
    </row>
    <row r="1020" ht="15.75" customHeight="1">
      <c r="A1020" s="89"/>
    </row>
    <row r="1021" ht="15.75" customHeight="1">
      <c r="A1021" s="89"/>
    </row>
    <row r="1022" ht="15.75" customHeight="1">
      <c r="A1022" s="89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5" width="15.71"/>
    <col customWidth="1" hidden="1" min="6" max="6" width="12.43"/>
    <col customWidth="1" min="7" max="7" width="15.71"/>
    <col customWidth="1" min="8" max="8" width="14.14"/>
    <col customWidth="1" min="9" max="9" width="15.71"/>
    <col customWidth="1" min="10" max="10" width="13.86"/>
    <col customWidth="1" min="11" max="11" width="16.14"/>
    <col customWidth="1" min="12" max="12" width="12.0"/>
    <col customWidth="1" min="13" max="13" width="13.29"/>
    <col customWidth="1" min="14" max="14" width="11.29"/>
    <col customWidth="1" min="16" max="16" width="11.29"/>
    <col customWidth="1" min="17" max="17" width="11.0"/>
    <col customWidth="1" min="18" max="18" width="10.86"/>
    <col customWidth="1" min="19" max="19" width="8.71"/>
    <col customWidth="1" min="20" max="20" width="12.71"/>
    <col customWidth="1" min="21" max="21" width="58.71"/>
    <col customWidth="1" min="22" max="24" width="8.71"/>
  </cols>
  <sheetData>
    <row r="1" ht="68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4.0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77" t="s">
        <v>141</v>
      </c>
      <c r="N2" s="47" t="s">
        <v>16</v>
      </c>
      <c r="O2" s="77" t="s">
        <v>142</v>
      </c>
      <c r="P2" s="77" t="s">
        <v>143</v>
      </c>
      <c r="Q2" s="47" t="s">
        <v>19</v>
      </c>
      <c r="R2" s="77" t="s">
        <v>144</v>
      </c>
      <c r="S2" s="77" t="s">
        <v>114</v>
      </c>
      <c r="T2" s="6"/>
      <c r="U2" s="8"/>
    </row>
    <row r="3" ht="14.25" customHeight="1">
      <c r="A3" s="90"/>
      <c r="B3" s="49"/>
      <c r="C3" s="50"/>
      <c r="D3" s="50"/>
      <c r="E3" s="50"/>
      <c r="F3" s="27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67">
        <f>5+5+5+5+38.1+5+5+5+5+5+87.51+5+5+32.51+5+5+5+5+5+5+5+5+5+5+5+5+5+5+5+5+5+5+5+5+5+5+5+5+5+5+5+5+5+5+5+5+5+5+5+5+5+5+5+5+5+5+5+5+5+5+5+5+5+5+5+5+5+5+5+5+5+5+15+5+5+5+5+5+5+5+5+5+5+5+5+5+5+5+5+5+5+80+5+42.03+5+5+87.51+5+5+5+5+5+5+5+5</f>
        <v>872.66</v>
      </c>
      <c r="U3" s="17" t="s">
        <v>20</v>
      </c>
      <c r="V3" s="27"/>
      <c r="W3" s="27"/>
      <c r="X3" s="27"/>
    </row>
    <row r="4" ht="14.25" customHeight="1">
      <c r="A4" s="51">
        <v>45809.0</v>
      </c>
      <c r="B4" s="52"/>
      <c r="C4" s="91"/>
      <c r="D4" s="53"/>
      <c r="E4" s="53">
        <f>999.5+127000+49.5</f>
        <v>128049</v>
      </c>
      <c r="F4" s="27"/>
      <c r="G4" s="53"/>
      <c r="H4" s="53"/>
      <c r="I4" s="53"/>
      <c r="J4" s="53"/>
      <c r="K4" s="53"/>
      <c r="L4" s="53"/>
      <c r="M4" s="53">
        <f>18870+27030</f>
        <v>45900</v>
      </c>
      <c r="N4" s="53"/>
      <c r="O4" s="53"/>
      <c r="P4" s="53"/>
      <c r="Q4" s="53"/>
      <c r="R4" s="53"/>
      <c r="S4" s="53"/>
      <c r="T4" s="27">
        <f>10765.21</f>
        <v>10765.21</v>
      </c>
      <c r="U4" s="21" t="s">
        <v>65</v>
      </c>
      <c r="V4" s="27"/>
      <c r="W4" s="27"/>
      <c r="X4" s="27"/>
    </row>
    <row r="5" ht="14.25" customHeight="1">
      <c r="A5" s="51">
        <v>45809.0</v>
      </c>
      <c r="B5" s="52"/>
      <c r="C5" s="91"/>
      <c r="D5" s="53"/>
      <c r="E5" s="53">
        <f>39290.88</f>
        <v>39290.88</v>
      </c>
      <c r="F5" s="27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>
        <f>32654+18440+14090</f>
        <v>65184</v>
      </c>
      <c r="T5" s="27">
        <f>5000+15200+19430+16780+9300+14150+15200+16800+388011+6100+4800+44200+5000+16780+174652+16780+15200+54800+16800+14150+19430+9300+15200+44200+15282+61009+65400+65400+30400</f>
        <v>1194754</v>
      </c>
      <c r="U5" s="17" t="s">
        <v>25</v>
      </c>
      <c r="V5" s="27"/>
      <c r="W5" s="27"/>
      <c r="X5" s="27"/>
    </row>
    <row r="6" ht="14.25" customHeight="1">
      <c r="A6" s="51">
        <v>45810.0</v>
      </c>
      <c r="B6" s="54" t="s">
        <v>145</v>
      </c>
      <c r="C6" s="84">
        <v>11289.86</v>
      </c>
      <c r="D6" s="53"/>
      <c r="E6" s="53">
        <f>25999.5+10000+1000</f>
        <v>36999.5</v>
      </c>
      <c r="F6" s="2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>
        <f>4200</f>
        <v>4200</v>
      </c>
      <c r="U6" s="22" t="s">
        <v>146</v>
      </c>
      <c r="V6" s="27"/>
      <c r="W6" s="27"/>
      <c r="X6" s="27"/>
    </row>
    <row r="7" ht="14.25" customHeight="1">
      <c r="A7" s="51">
        <v>45810.0</v>
      </c>
      <c r="B7" s="54" t="s">
        <v>145</v>
      </c>
      <c r="C7" s="84">
        <v>11289.86</v>
      </c>
      <c r="D7" s="53"/>
      <c r="E7" s="53">
        <f>7109.8</f>
        <v>7109.8</v>
      </c>
      <c r="F7" s="27"/>
      <c r="G7" s="53"/>
      <c r="H7" s="53"/>
      <c r="I7" s="53"/>
      <c r="J7" s="53"/>
      <c r="K7" s="53"/>
      <c r="L7" s="53"/>
      <c r="M7" s="53"/>
      <c r="N7" s="53">
        <f>3000+594.27</f>
        <v>3594.27</v>
      </c>
      <c r="O7" s="53"/>
      <c r="P7" s="53"/>
      <c r="Q7" s="53"/>
      <c r="R7" s="53"/>
      <c r="S7" s="53"/>
      <c r="T7" s="27">
        <f>158.92</f>
        <v>158.92</v>
      </c>
      <c r="U7" s="17" t="s">
        <v>92</v>
      </c>
      <c r="V7" s="27"/>
      <c r="W7" s="27"/>
      <c r="X7" s="27"/>
    </row>
    <row r="8" ht="14.25" customHeight="1">
      <c r="A8" s="51">
        <v>45811.0</v>
      </c>
      <c r="B8" s="56"/>
      <c r="C8" s="53"/>
      <c r="D8" s="53"/>
      <c r="E8" s="53">
        <f>5000+150+199.5+0.5</f>
        <v>5350</v>
      </c>
      <c r="F8" s="2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/>
      <c r="U8" s="17"/>
      <c r="V8" s="27"/>
      <c r="W8" s="27"/>
      <c r="X8" s="27"/>
    </row>
    <row r="9" ht="14.25" customHeight="1">
      <c r="A9" s="51">
        <v>45811.0</v>
      </c>
      <c r="B9" s="56"/>
      <c r="C9" s="53"/>
      <c r="D9" s="53"/>
      <c r="E9" s="53">
        <f>523.14+0.5</f>
        <v>523.64</v>
      </c>
      <c r="F9" s="27"/>
      <c r="G9" s="53"/>
      <c r="H9" s="53"/>
      <c r="I9" s="53"/>
      <c r="J9" s="53"/>
      <c r="K9" s="53">
        <f>33250+30300+24880</f>
        <v>88430</v>
      </c>
      <c r="L9" s="53"/>
      <c r="M9" s="53"/>
      <c r="N9" s="53"/>
      <c r="O9" s="53"/>
      <c r="P9" s="53"/>
      <c r="Q9" s="53"/>
      <c r="R9" s="53"/>
      <c r="S9" s="53"/>
      <c r="T9" s="27">
        <f>1999.98</f>
        <v>1999.98</v>
      </c>
      <c r="U9" s="22" t="s">
        <v>147</v>
      </c>
      <c r="V9" s="27"/>
      <c r="W9" s="27"/>
      <c r="X9" s="27"/>
    </row>
    <row r="10" ht="14.25" customHeight="1">
      <c r="A10" s="51">
        <v>45812.0</v>
      </c>
      <c r="B10" s="80" t="s">
        <v>148</v>
      </c>
      <c r="C10" s="55">
        <v>671793.54</v>
      </c>
      <c r="D10" s="53"/>
      <c r="E10" s="53">
        <f>999.5+500</f>
        <v>1499.5</v>
      </c>
      <c r="F10" s="27"/>
      <c r="G10" s="53"/>
      <c r="H10" s="53"/>
      <c r="I10" s="53"/>
      <c r="J10" s="53"/>
      <c r="K10" s="53"/>
      <c r="L10" s="53"/>
      <c r="M10" s="53">
        <f>199500+199500</f>
        <v>399000</v>
      </c>
      <c r="N10" s="53">
        <f>1603.38+12600</f>
        <v>14203.38</v>
      </c>
      <c r="O10" s="53">
        <f>3750+11250</f>
        <v>15000</v>
      </c>
      <c r="P10" s="53"/>
      <c r="Q10" s="53"/>
      <c r="R10" s="53"/>
      <c r="S10" s="53"/>
      <c r="T10" s="27">
        <f>25001.9+17502.1+6502.65+7619.34+6502.65+17502.1+50003.8+15003.45+17502.1+17502.1+15003.45+4776.85+2167.55+4167.17+92314.42+50003.8+8406.38+15003.45+17502.1</f>
        <v>389987.36</v>
      </c>
      <c r="U10" s="17" t="s">
        <v>28</v>
      </c>
      <c r="V10" s="27"/>
      <c r="W10" s="27"/>
      <c r="X10" s="27"/>
    </row>
    <row r="11" ht="14.25" customHeight="1">
      <c r="A11" s="51">
        <v>45812.0</v>
      </c>
      <c r="B11" s="56"/>
      <c r="C11" s="53"/>
      <c r="D11" s="53"/>
      <c r="E11" s="53">
        <f>200</f>
        <v>200</v>
      </c>
      <c r="F11" s="27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6">
        <f>4460.5+2959.6</f>
        <v>7420.1</v>
      </c>
      <c r="U11" s="22" t="s">
        <v>149</v>
      </c>
      <c r="V11" s="27"/>
      <c r="W11" s="27"/>
      <c r="X11" s="27"/>
    </row>
    <row r="12" ht="14.25" customHeight="1">
      <c r="A12" s="51">
        <v>45813.0</v>
      </c>
      <c r="B12" s="80" t="s">
        <v>150</v>
      </c>
      <c r="C12" s="55">
        <v>75000.0</v>
      </c>
      <c r="D12" s="53"/>
      <c r="E12" s="53">
        <f>99.5+100+10.5+0.5</f>
        <v>210.5</v>
      </c>
      <c r="F12" s="27"/>
      <c r="G12" s="53"/>
      <c r="H12" s="53"/>
      <c r="I12" s="53"/>
      <c r="J12" s="53"/>
      <c r="K12" s="53"/>
      <c r="L12" s="53"/>
      <c r="M12" s="53"/>
      <c r="N12" s="53">
        <f>1484.9</f>
        <v>1484.9</v>
      </c>
      <c r="O12" s="53"/>
      <c r="P12" s="53"/>
      <c r="Q12" s="53"/>
      <c r="R12" s="53"/>
      <c r="S12" s="53"/>
      <c r="T12" s="27">
        <f>13003.1+35096.44+10638.9+42895.65+2955.25+1116.67+310.19+1364.81+140.75+506.7+619.3+1190.62+270.6+974.14+5472.43+15003.45+17502.1+16000.6+48699.7+1520.12+6688.52+13527.69+59521.85</f>
        <v>295019.58</v>
      </c>
      <c r="U12" s="17" t="s">
        <v>29</v>
      </c>
      <c r="V12" s="27"/>
      <c r="W12" s="27"/>
      <c r="X12" s="27"/>
    </row>
    <row r="13" ht="14.25" customHeight="1">
      <c r="A13" s="51">
        <v>45813.0</v>
      </c>
      <c r="B13" s="56"/>
      <c r="C13" s="53"/>
      <c r="D13" s="53"/>
      <c r="E13" s="53">
        <f>520+1576.93+4100</f>
        <v>6196.93</v>
      </c>
      <c r="F13" s="27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27">
        <f>770</f>
        <v>770</v>
      </c>
      <c r="U13" s="27" t="s">
        <v>69</v>
      </c>
      <c r="V13" s="27"/>
      <c r="W13" s="27"/>
      <c r="X13" s="27"/>
    </row>
    <row r="14" ht="14.25" customHeight="1">
      <c r="A14" s="51">
        <v>45814.0</v>
      </c>
      <c r="B14" s="80" t="s">
        <v>151</v>
      </c>
      <c r="C14" s="55">
        <v>1893860.19</v>
      </c>
      <c r="D14" s="53"/>
      <c r="E14" s="53">
        <f>443.36+500</f>
        <v>943.36</v>
      </c>
      <c r="F14" s="27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>
        <f>28414+75000+56610</f>
        <v>160024</v>
      </c>
      <c r="T14" s="27">
        <f>2100</f>
        <v>2100</v>
      </c>
      <c r="U14" s="22" t="s">
        <v>152</v>
      </c>
      <c r="V14" s="27"/>
      <c r="W14" s="27"/>
      <c r="X14" s="27"/>
    </row>
    <row r="15" ht="14.25" customHeight="1">
      <c r="A15" s="51">
        <v>45814.0</v>
      </c>
      <c r="B15" s="56"/>
      <c r="C15" s="53"/>
      <c r="D15" s="53"/>
      <c r="E15" s="53">
        <f>9.5+1301.61</f>
        <v>1311.11</v>
      </c>
      <c r="F15" s="27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>
        <f>2000</f>
        <v>2000</v>
      </c>
      <c r="U15" s="17" t="s">
        <v>71</v>
      </c>
      <c r="V15" s="27"/>
      <c r="W15" s="27"/>
      <c r="X15" s="27"/>
    </row>
    <row r="16" ht="14.25" customHeight="1">
      <c r="A16" s="51">
        <v>45815.0</v>
      </c>
      <c r="B16" s="56"/>
      <c r="C16" s="53"/>
      <c r="D16" s="53"/>
      <c r="E16" s="53">
        <f>5600.68+5167.65</f>
        <v>10768.33</v>
      </c>
      <c r="F16" s="27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>
        <f>1530</f>
        <v>1530</v>
      </c>
      <c r="U16" s="21" t="s">
        <v>72</v>
      </c>
      <c r="V16" s="27"/>
      <c r="W16" s="27"/>
      <c r="X16" s="27"/>
    </row>
    <row r="17" ht="14.25" customHeight="1">
      <c r="A17" s="51">
        <v>45815.0</v>
      </c>
      <c r="B17" s="52"/>
      <c r="C17" s="12"/>
      <c r="D17" s="53"/>
      <c r="E17" s="53">
        <f>9.5</f>
        <v>9.5</v>
      </c>
      <c r="F17" s="27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>
        <f>1593.23</f>
        <v>1593.23</v>
      </c>
      <c r="U17" s="17" t="s">
        <v>153</v>
      </c>
      <c r="V17" s="27"/>
      <c r="W17" s="27"/>
      <c r="X17" s="27"/>
    </row>
    <row r="18" ht="14.25" customHeight="1">
      <c r="A18" s="51">
        <v>45816.0</v>
      </c>
      <c r="B18" s="52"/>
      <c r="C18" s="12"/>
      <c r="D18" s="53"/>
      <c r="E18" s="53">
        <f>9.5+10.5+9.5</f>
        <v>29.5</v>
      </c>
      <c r="F18" s="27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27">
        <f>43000</f>
        <v>43000</v>
      </c>
      <c r="U18" s="22" t="s">
        <v>154</v>
      </c>
      <c r="V18" s="27"/>
      <c r="W18" s="27"/>
      <c r="X18" s="27"/>
    </row>
    <row r="19" ht="14.25" customHeight="1">
      <c r="A19" s="51">
        <v>45816.0</v>
      </c>
      <c r="B19" s="52"/>
      <c r="C19" s="12"/>
      <c r="D19" s="53"/>
      <c r="E19" s="53">
        <f>4061.07</f>
        <v>4061.07</v>
      </c>
      <c r="F19" s="27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26">
        <v>139200.0</v>
      </c>
      <c r="U19" s="28" t="s">
        <v>155</v>
      </c>
      <c r="V19" s="27"/>
      <c r="W19" s="27"/>
      <c r="X19" s="27"/>
    </row>
    <row r="20" ht="14.25" customHeight="1">
      <c r="A20" s="51">
        <v>45817.0</v>
      </c>
      <c r="B20" s="80" t="s">
        <v>125</v>
      </c>
      <c r="C20" s="55">
        <v>123000.0</v>
      </c>
      <c r="D20" s="53"/>
      <c r="E20" s="53">
        <f>668.9</f>
        <v>668.9</v>
      </c>
      <c r="F20" s="27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27">
        <f>606.3</f>
        <v>606.3</v>
      </c>
      <c r="U20" s="28" t="s">
        <v>156</v>
      </c>
      <c r="V20" s="27"/>
      <c r="W20" s="27"/>
      <c r="X20" s="27"/>
    </row>
    <row r="21" ht="14.25" customHeight="1">
      <c r="A21" s="51">
        <v>45817.0</v>
      </c>
      <c r="B21" s="56"/>
      <c r="C21" s="53"/>
      <c r="D21" s="53"/>
      <c r="E21" s="53">
        <f>4.5+9.5+99.5</f>
        <v>113.5</v>
      </c>
      <c r="F21" s="27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7"/>
      <c r="U21" s="28"/>
      <c r="V21" s="27"/>
      <c r="W21" s="27"/>
      <c r="X21" s="27"/>
    </row>
    <row r="22" ht="14.25" customHeight="1">
      <c r="A22" s="51">
        <v>45818.0</v>
      </c>
      <c r="B22" s="31" t="s">
        <v>157</v>
      </c>
      <c r="C22" s="55">
        <v>30000.0</v>
      </c>
      <c r="D22" s="53"/>
      <c r="E22" s="53">
        <f>236.86+148.54+1546.67</f>
        <v>1932.07</v>
      </c>
      <c r="F22" s="27"/>
      <c r="G22" s="53"/>
      <c r="H22" s="57">
        <v>255700.0</v>
      </c>
      <c r="I22" s="53">
        <f>128000</f>
        <v>128000</v>
      </c>
      <c r="J22" s="53"/>
      <c r="K22" s="58">
        <f>30320+27820+21490</f>
        <v>79630</v>
      </c>
      <c r="L22" s="53"/>
      <c r="M22" s="53"/>
      <c r="N22" s="53">
        <f>75000</f>
        <v>75000</v>
      </c>
      <c r="O22" s="53"/>
      <c r="P22" s="53"/>
      <c r="Q22" s="53"/>
      <c r="R22" s="53"/>
      <c r="S22" s="53"/>
      <c r="T22" s="27">
        <f>5000</f>
        <v>5000</v>
      </c>
      <c r="U22" s="22" t="s">
        <v>158</v>
      </c>
      <c r="V22" s="27"/>
      <c r="W22" s="27"/>
      <c r="X22" s="27"/>
    </row>
    <row r="23" ht="14.25" customHeight="1">
      <c r="A23" s="51">
        <v>45818.0</v>
      </c>
      <c r="B23" s="56"/>
      <c r="C23" s="53"/>
      <c r="D23" s="53"/>
      <c r="E23" s="53">
        <f>11000</f>
        <v>11000</v>
      </c>
      <c r="F23" s="27"/>
      <c r="G23" s="53"/>
      <c r="H23" s="53"/>
      <c r="J23" s="53"/>
      <c r="K23" s="53"/>
      <c r="L23" s="53"/>
      <c r="M23" s="53"/>
      <c r="N23" s="53"/>
      <c r="O23" s="53"/>
      <c r="P23" s="53"/>
      <c r="Q23" s="55">
        <v>65000.0</v>
      </c>
      <c r="R23" s="53"/>
      <c r="S23" s="53"/>
      <c r="T23" s="27"/>
      <c r="U23" s="66"/>
      <c r="V23" s="27"/>
      <c r="W23" s="27"/>
      <c r="X23" s="27"/>
    </row>
    <row r="24" ht="14.25" customHeight="1">
      <c r="A24" s="51">
        <v>45819.0</v>
      </c>
      <c r="B24" s="12"/>
      <c r="C24" s="53"/>
      <c r="D24" s="53"/>
      <c r="E24" s="53">
        <f>1000+3.35+15000</f>
        <v>16003.35</v>
      </c>
      <c r="F24" s="27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>
        <f>22650+20740+27785+36990+35235</f>
        <v>143400</v>
      </c>
      <c r="T24" s="27"/>
      <c r="U24" s="17"/>
      <c r="V24" s="27"/>
      <c r="W24" s="27"/>
      <c r="X24" s="27"/>
    </row>
    <row r="25" ht="14.25" customHeight="1">
      <c r="A25" s="51">
        <v>45819.0</v>
      </c>
      <c r="B25" s="12"/>
      <c r="C25" s="53"/>
      <c r="D25" s="53"/>
      <c r="E25" s="53">
        <f>999.5</f>
        <v>999.5</v>
      </c>
      <c r="F25" s="2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>
        <f>3630+1445</f>
        <v>5075</v>
      </c>
      <c r="U25" s="10" t="s">
        <v>79</v>
      </c>
      <c r="V25" s="27"/>
      <c r="W25" s="27"/>
      <c r="X25" s="27"/>
    </row>
    <row r="26" ht="14.25" customHeight="1">
      <c r="A26" s="51">
        <v>45820.0</v>
      </c>
      <c r="B26" s="52"/>
      <c r="C26" s="53"/>
      <c r="D26" s="53"/>
      <c r="E26" s="53">
        <f>1261.26</f>
        <v>1261.26</v>
      </c>
      <c r="F26" s="27"/>
      <c r="G26" s="53"/>
      <c r="H26" s="53"/>
      <c r="I26" s="92">
        <v>1146904.12</v>
      </c>
      <c r="J26" s="57">
        <v>3481656.9</v>
      </c>
      <c r="K26" s="53"/>
      <c r="L26" s="53"/>
      <c r="M26" s="53"/>
      <c r="N26" s="53"/>
      <c r="O26" s="53">
        <f>11250+3750</f>
        <v>15000</v>
      </c>
      <c r="P26" s="53"/>
      <c r="Q26" s="53"/>
      <c r="R26" s="53"/>
      <c r="S26" s="53"/>
      <c r="T26" s="27">
        <f>1042</f>
        <v>1042</v>
      </c>
      <c r="U26" s="33" t="s">
        <v>159</v>
      </c>
      <c r="V26" s="27"/>
      <c r="W26" s="27"/>
      <c r="X26" s="27"/>
    </row>
    <row r="27" ht="14.25" customHeight="1">
      <c r="A27" s="51">
        <v>45820.0</v>
      </c>
      <c r="B27" s="52"/>
      <c r="C27" s="53"/>
      <c r="D27" s="53"/>
      <c r="E27" s="53">
        <f>0.5</f>
        <v>0.5</v>
      </c>
      <c r="F27" s="27"/>
      <c r="G27" s="53"/>
      <c r="H27" s="53"/>
      <c r="I27" s="53"/>
      <c r="J27" s="53"/>
      <c r="K27" s="53"/>
      <c r="L27" s="53"/>
      <c r="M27" s="53"/>
      <c r="N27" s="53">
        <f>42768+89</f>
        <v>42857</v>
      </c>
      <c r="O27" s="53"/>
      <c r="P27" s="53"/>
      <c r="Q27" s="53"/>
      <c r="R27" s="53">
        <f>1720</f>
        <v>1720</v>
      </c>
      <c r="S27" s="53"/>
      <c r="T27" s="27"/>
      <c r="U27" s="10"/>
      <c r="V27" s="27"/>
      <c r="W27" s="27"/>
      <c r="X27" s="27"/>
    </row>
    <row r="28" ht="14.25" customHeight="1">
      <c r="A28" s="51">
        <v>45821.0</v>
      </c>
      <c r="B28" s="52"/>
      <c r="C28" s="53"/>
      <c r="D28" s="53"/>
      <c r="E28" s="53">
        <f>7000+1811.37+4811.19</f>
        <v>13622.56</v>
      </c>
      <c r="F28" s="27"/>
      <c r="G28" s="53"/>
      <c r="H28" s="53">
        <f>37063+37500</f>
        <v>74563</v>
      </c>
      <c r="I28" s="53"/>
      <c r="J28" s="53"/>
      <c r="K28" s="53"/>
      <c r="L28" s="53"/>
      <c r="M28" s="53"/>
      <c r="N28" s="53">
        <f>86340.87+11520</f>
        <v>97860.87</v>
      </c>
      <c r="O28" s="53"/>
      <c r="P28" s="53">
        <f>43675+44250+320511.56</f>
        <v>408436.56</v>
      </c>
      <c r="Q28" s="53"/>
      <c r="R28" s="53"/>
      <c r="S28" s="53"/>
      <c r="T28" s="27">
        <f>680</f>
        <v>680</v>
      </c>
      <c r="U28" s="28" t="s">
        <v>160</v>
      </c>
      <c r="V28" s="27"/>
      <c r="W28" s="27"/>
      <c r="X28" s="27"/>
    </row>
    <row r="29" ht="14.25" customHeight="1">
      <c r="A29" s="51">
        <v>45821.0</v>
      </c>
      <c r="B29" s="12"/>
      <c r="C29" s="12"/>
      <c r="D29" s="53"/>
      <c r="E29" s="53">
        <f>6000+2000+9.5+149.5</f>
        <v>8159</v>
      </c>
      <c r="F29" s="27"/>
      <c r="G29" s="53"/>
      <c r="H29" s="53"/>
      <c r="I29" s="53"/>
      <c r="J29" s="53"/>
      <c r="K29" s="53"/>
      <c r="L29" s="53"/>
      <c r="M29" s="53"/>
      <c r="N29" s="53">
        <f>5606.55+12400+20183.58</f>
        <v>38190.13</v>
      </c>
      <c r="O29" s="53"/>
      <c r="P29" s="53"/>
      <c r="Q29" s="53"/>
      <c r="R29" s="53"/>
      <c r="S29" s="53"/>
      <c r="T29" s="27">
        <f>792</f>
        <v>792</v>
      </c>
      <c r="U29" s="10" t="s">
        <v>81</v>
      </c>
      <c r="V29" s="27"/>
      <c r="W29" s="27"/>
      <c r="X29" s="27"/>
    </row>
    <row r="30" ht="14.25" customHeight="1">
      <c r="A30" s="51">
        <v>45822.0</v>
      </c>
      <c r="B30" s="12"/>
      <c r="C30" s="12"/>
      <c r="D30" s="53"/>
      <c r="E30" s="53">
        <f>600+1250+815.23</f>
        <v>2665.23</v>
      </c>
      <c r="F30" s="27"/>
      <c r="G30" s="53"/>
      <c r="H30" s="53"/>
      <c r="I30" s="53"/>
      <c r="J30" s="53"/>
      <c r="K30" s="53">
        <f>25770+27720</f>
        <v>53490</v>
      </c>
      <c r="L30" s="53"/>
      <c r="M30" s="53"/>
      <c r="N30" s="53"/>
      <c r="O30" s="53"/>
      <c r="P30" s="53"/>
      <c r="Q30" s="53"/>
      <c r="R30" s="53"/>
      <c r="S30" s="53"/>
      <c r="T30" s="27">
        <f>43860</f>
        <v>43860</v>
      </c>
      <c r="U30" s="33" t="s">
        <v>161</v>
      </c>
      <c r="V30" s="27"/>
      <c r="W30" s="27"/>
      <c r="X30" s="27"/>
    </row>
    <row r="31" ht="14.25" customHeight="1">
      <c r="A31" s="51">
        <v>45822.0</v>
      </c>
      <c r="B31" s="12"/>
      <c r="C31" s="12"/>
      <c r="D31" s="53"/>
      <c r="E31" s="53">
        <f>100+9.5+49.5+24.5</f>
        <v>183.5</v>
      </c>
      <c r="F31" s="27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7">
        <f>1785+1810+1800</f>
        <v>5395</v>
      </c>
      <c r="U31" s="21" t="s">
        <v>21</v>
      </c>
      <c r="V31" s="27"/>
      <c r="W31" s="27"/>
      <c r="X31" s="27"/>
    </row>
    <row r="32" ht="14.25" customHeight="1">
      <c r="A32" s="51">
        <v>45823.0</v>
      </c>
      <c r="B32" s="12"/>
      <c r="C32" s="12"/>
      <c r="D32" s="53"/>
      <c r="E32" s="53">
        <f>1600+891.57+2585.88</f>
        <v>5077.45</v>
      </c>
      <c r="F32" s="27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27">
        <f>570</f>
        <v>570</v>
      </c>
      <c r="U32" s="33" t="s">
        <v>162</v>
      </c>
      <c r="V32" s="27"/>
      <c r="W32" s="27"/>
      <c r="X32" s="27"/>
    </row>
    <row r="33" ht="14.25" customHeight="1">
      <c r="A33" s="51">
        <v>45823.0</v>
      </c>
      <c r="B33" s="12"/>
      <c r="C33" s="12"/>
      <c r="D33" s="53"/>
      <c r="E33" s="53">
        <f>3199.5+199.5+0.5</f>
        <v>3399.5</v>
      </c>
      <c r="F33" s="27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>
        <f>6228</f>
        <v>6228</v>
      </c>
      <c r="U33" s="28" t="s">
        <v>163</v>
      </c>
      <c r="V33" s="27"/>
      <c r="W33" s="27"/>
      <c r="X33" s="27"/>
    </row>
    <row r="34" ht="14.25" customHeight="1">
      <c r="A34" s="51">
        <v>45824.0</v>
      </c>
      <c r="B34" s="12"/>
      <c r="C34" s="12"/>
      <c r="D34" s="53"/>
      <c r="E34" s="53">
        <f>981.04+124.34+1959.54+460</f>
        <v>3524.92</v>
      </c>
      <c r="F34" s="27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27">
        <f>3705.62+1366.6</f>
        <v>5072.22</v>
      </c>
      <c r="U34" s="21" t="s">
        <v>84</v>
      </c>
      <c r="V34" s="27"/>
      <c r="W34" s="27"/>
      <c r="X34" s="27"/>
    </row>
    <row r="35" ht="14.25" customHeight="1">
      <c r="A35" s="51">
        <v>45824.0</v>
      </c>
      <c r="B35" s="80" t="s">
        <v>164</v>
      </c>
      <c r="C35" s="55">
        <v>100000.0</v>
      </c>
      <c r="D35" s="53"/>
      <c r="E35" s="53">
        <f>200+249.5+100+106080+500+9.5</f>
        <v>107139</v>
      </c>
      <c r="F35" s="27"/>
      <c r="G35" s="53"/>
      <c r="H35" s="53"/>
      <c r="I35" s="53"/>
      <c r="J35" s="53"/>
      <c r="K35" s="53"/>
      <c r="L35" s="53"/>
      <c r="M35" s="53"/>
      <c r="N35" s="53">
        <f>756</f>
        <v>756</v>
      </c>
      <c r="O35" s="53"/>
      <c r="P35" s="53"/>
      <c r="Q35" s="53"/>
      <c r="R35" s="53"/>
      <c r="S35" s="53"/>
      <c r="T35" s="27">
        <f>65900</f>
        <v>65900</v>
      </c>
      <c r="U35" s="10" t="s">
        <v>85</v>
      </c>
      <c r="V35" s="27"/>
      <c r="W35" s="27"/>
      <c r="X35" s="27"/>
    </row>
    <row r="36" ht="14.25" customHeight="1">
      <c r="A36" s="51">
        <v>45825.0</v>
      </c>
      <c r="B36" s="56"/>
      <c r="C36" s="53"/>
      <c r="D36" s="53"/>
      <c r="E36" s="53">
        <f>1000+350+6665</f>
        <v>8015</v>
      </c>
      <c r="F36" s="27"/>
      <c r="G36" s="53"/>
      <c r="H36" s="53"/>
      <c r="I36" s="53"/>
      <c r="J36" s="57">
        <v>375000.0</v>
      </c>
      <c r="K36" s="53"/>
      <c r="L36" s="53"/>
      <c r="M36" s="53"/>
      <c r="N36" s="53"/>
      <c r="O36" s="53"/>
      <c r="P36" s="53"/>
      <c r="Q36" s="53">
        <f>23000</f>
        <v>23000</v>
      </c>
      <c r="R36" s="53"/>
      <c r="S36" s="53"/>
      <c r="T36" s="27">
        <f>277540</f>
        <v>277540</v>
      </c>
      <c r="U36" s="33" t="s">
        <v>165</v>
      </c>
      <c r="V36" s="27"/>
      <c r="W36" s="27"/>
      <c r="X36" s="27"/>
    </row>
    <row r="37" ht="14.25" customHeight="1">
      <c r="A37" s="51">
        <v>45825.0</v>
      </c>
      <c r="B37" s="56"/>
      <c r="C37" s="53"/>
      <c r="D37" s="53"/>
      <c r="E37" s="53"/>
      <c r="F37" s="27"/>
      <c r="G37" s="53"/>
      <c r="H37" s="53"/>
      <c r="I37" s="53"/>
      <c r="J37" s="53"/>
      <c r="K37" s="53"/>
      <c r="L37" s="53"/>
      <c r="M37" s="53"/>
      <c r="N37" s="53">
        <f>3009.1</f>
        <v>3009.1</v>
      </c>
      <c r="O37" s="53"/>
      <c r="P37" s="53"/>
      <c r="Q37" s="53"/>
      <c r="R37" s="53"/>
      <c r="S37" s="53"/>
      <c r="T37" s="27">
        <f>45000</f>
        <v>45000</v>
      </c>
      <c r="U37" s="33" t="s">
        <v>166</v>
      </c>
      <c r="V37" s="27"/>
      <c r="W37" s="27"/>
      <c r="X37" s="27"/>
    </row>
    <row r="38" ht="14.25" customHeight="1">
      <c r="A38" s="51">
        <v>45826.0</v>
      </c>
      <c r="B38" s="56"/>
      <c r="C38" s="53"/>
      <c r="D38" s="53"/>
      <c r="E38" s="53">
        <f>18.64+6000</f>
        <v>6018.64</v>
      </c>
      <c r="F38" s="27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26">
        <v>46000.0</v>
      </c>
      <c r="U38" s="22" t="s">
        <v>119</v>
      </c>
      <c r="V38" s="22"/>
      <c r="W38" s="27"/>
      <c r="X38" s="27"/>
    </row>
    <row r="39" ht="14.25" customHeight="1">
      <c r="A39" s="51">
        <v>45826.0</v>
      </c>
      <c r="B39" s="56"/>
      <c r="C39" s="53"/>
      <c r="D39" s="53"/>
      <c r="E39" s="53">
        <f>0.5+0.5+0.5</f>
        <v>1.5</v>
      </c>
      <c r="F39" s="27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27">
        <f>924</f>
        <v>924</v>
      </c>
      <c r="U39" s="33" t="s">
        <v>167</v>
      </c>
      <c r="V39" s="27"/>
      <c r="W39" s="27"/>
      <c r="X39" s="27"/>
    </row>
    <row r="40" ht="14.25" customHeight="1">
      <c r="A40" s="51">
        <v>45827.0</v>
      </c>
      <c r="B40" s="56"/>
      <c r="C40" s="53"/>
      <c r="D40" s="53"/>
      <c r="E40" s="53">
        <f>1386.27+1432</f>
        <v>2818.27</v>
      </c>
      <c r="F40" s="27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7">
        <f>1000</f>
        <v>1000</v>
      </c>
      <c r="U40" s="33" t="s">
        <v>168</v>
      </c>
      <c r="V40" s="27"/>
      <c r="W40" s="27"/>
      <c r="X40" s="27"/>
    </row>
    <row r="41" ht="14.25" customHeight="1">
      <c r="A41" s="51">
        <v>45827.0</v>
      </c>
      <c r="B41" s="12"/>
      <c r="C41" s="53"/>
      <c r="D41" s="53"/>
      <c r="E41" s="53">
        <f>100</f>
        <v>100</v>
      </c>
      <c r="F41" s="27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>
        <f>480</f>
        <v>480</v>
      </c>
      <c r="U41" s="33" t="s">
        <v>169</v>
      </c>
      <c r="V41" s="27"/>
      <c r="W41" s="27"/>
      <c r="X41" s="27"/>
    </row>
    <row r="42" ht="14.25" customHeight="1">
      <c r="A42" s="51">
        <v>45828.0</v>
      </c>
      <c r="B42" s="56"/>
      <c r="C42" s="53"/>
      <c r="D42" s="53"/>
      <c r="E42" s="53">
        <f>2847.81</f>
        <v>2847.81</v>
      </c>
      <c r="F42" s="27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27">
        <f>362.4</f>
        <v>362.4</v>
      </c>
      <c r="U42" s="21" t="s">
        <v>88</v>
      </c>
      <c r="V42" s="27"/>
      <c r="W42" s="27"/>
      <c r="X42" s="27"/>
    </row>
    <row r="43" ht="14.25" customHeight="1">
      <c r="A43" s="51">
        <v>45828.0</v>
      </c>
      <c r="B43" s="12"/>
      <c r="C43" s="53"/>
      <c r="D43" s="53"/>
      <c r="E43" s="53">
        <f>299.5+4.5</f>
        <v>304</v>
      </c>
      <c r="F43" s="27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27">
        <f>5250</f>
        <v>5250</v>
      </c>
      <c r="U43" s="33" t="s">
        <v>170</v>
      </c>
      <c r="V43" s="27"/>
      <c r="W43" s="27"/>
      <c r="X43" s="27"/>
    </row>
    <row r="44" ht="14.25" customHeight="1">
      <c r="A44" s="51">
        <v>45829.0</v>
      </c>
      <c r="B44" s="52"/>
      <c r="C44" s="53"/>
      <c r="D44" s="53"/>
      <c r="E44" s="53">
        <f>7404.22</f>
        <v>7404.22</v>
      </c>
      <c r="F44" s="27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27">
        <f>605</f>
        <v>605</v>
      </c>
      <c r="U44" s="28" t="s">
        <v>171</v>
      </c>
      <c r="V44" s="27"/>
      <c r="W44" s="27"/>
      <c r="X44" s="27"/>
    </row>
    <row r="45" ht="14.25" customHeight="1">
      <c r="A45" s="51">
        <v>45829.0</v>
      </c>
      <c r="B45" s="52"/>
      <c r="C45" s="53"/>
      <c r="D45" s="53"/>
      <c r="E45" s="53">
        <f>99.5+0.5+0.5+0.5</f>
        <v>101</v>
      </c>
      <c r="F45" s="27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26">
        <v>20000.0</v>
      </c>
      <c r="U45" s="33" t="s">
        <v>172</v>
      </c>
      <c r="V45" s="27"/>
      <c r="W45" s="27"/>
      <c r="X45" s="27"/>
    </row>
    <row r="46" ht="14.25" customHeight="1">
      <c r="A46" s="51">
        <v>45830.0</v>
      </c>
      <c r="B46" s="52"/>
      <c r="C46" s="53"/>
      <c r="D46" s="53"/>
      <c r="E46" s="53">
        <f>2400.88</f>
        <v>2400.88</v>
      </c>
      <c r="F46" s="27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27"/>
      <c r="U46" s="21"/>
      <c r="V46" s="27"/>
      <c r="W46" s="27"/>
      <c r="X46" s="27"/>
    </row>
    <row r="47" ht="14.25" customHeight="1">
      <c r="A47" s="51">
        <v>45830.0</v>
      </c>
      <c r="B47" s="52"/>
      <c r="C47" s="53"/>
      <c r="D47" s="53"/>
      <c r="E47" s="53">
        <f>0.5</f>
        <v>0.5</v>
      </c>
      <c r="F47" s="27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27"/>
      <c r="U47" s="10"/>
      <c r="V47" s="27"/>
      <c r="W47" s="27"/>
      <c r="X47" s="27"/>
    </row>
    <row r="48" ht="14.25" customHeight="1">
      <c r="A48" s="51">
        <v>45831.0</v>
      </c>
      <c r="B48" s="52"/>
      <c r="C48" s="53"/>
      <c r="D48" s="53"/>
      <c r="E48" s="53">
        <f>56807.11</f>
        <v>56807.11</v>
      </c>
      <c r="F48" s="27"/>
      <c r="G48" s="53"/>
      <c r="H48" s="53"/>
      <c r="I48" s="53"/>
      <c r="J48" s="53">
        <f>143368</f>
        <v>143368</v>
      </c>
      <c r="K48" s="53"/>
      <c r="L48" s="53"/>
      <c r="M48" s="53"/>
      <c r="N48" s="53">
        <f>3699</f>
        <v>3699</v>
      </c>
      <c r="O48" s="53"/>
      <c r="P48" s="53"/>
      <c r="Q48" s="53"/>
      <c r="R48" s="53"/>
      <c r="S48" s="53"/>
      <c r="T48" s="27"/>
      <c r="U48" s="14"/>
      <c r="V48" s="27"/>
      <c r="W48" s="27"/>
      <c r="X48" s="27"/>
    </row>
    <row r="49" ht="14.25" customHeight="1">
      <c r="A49" s="51">
        <v>45831.0</v>
      </c>
      <c r="B49" s="52"/>
      <c r="C49" s="53"/>
      <c r="D49" s="53"/>
      <c r="E49" s="53">
        <f>9.5+9.5</f>
        <v>19</v>
      </c>
      <c r="F49" s="27"/>
      <c r="G49" s="53"/>
      <c r="H49" s="53"/>
      <c r="I49" s="53"/>
      <c r="J49" s="53">
        <f>128800+127832</f>
        <v>256632</v>
      </c>
      <c r="K49" s="53"/>
      <c r="L49" s="53"/>
      <c r="M49" s="53"/>
      <c r="N49" s="53"/>
      <c r="O49" s="53"/>
      <c r="P49" s="53"/>
      <c r="Q49" s="53"/>
      <c r="R49" s="53"/>
      <c r="S49" s="53"/>
      <c r="T49" s="27"/>
      <c r="U49" s="14"/>
      <c r="V49" s="27"/>
      <c r="W49" s="27"/>
      <c r="X49" s="27"/>
    </row>
    <row r="50" ht="14.25" customHeight="1">
      <c r="A50" s="51">
        <v>45832.0</v>
      </c>
      <c r="B50" s="52"/>
      <c r="C50" s="53"/>
      <c r="D50" s="53"/>
      <c r="E50" s="53">
        <f>27120</f>
        <v>27120</v>
      </c>
      <c r="F50" s="27"/>
      <c r="G50" s="53"/>
      <c r="H50" s="53">
        <f>4600</f>
        <v>4600</v>
      </c>
      <c r="I50" s="53">
        <f>3500</f>
        <v>3500</v>
      </c>
      <c r="J50" s="53"/>
      <c r="K50" s="53"/>
      <c r="L50" s="53"/>
      <c r="M50" s="53"/>
      <c r="N50" s="53">
        <f>378+600+996.34+2119.52</f>
        <v>4093.86</v>
      </c>
      <c r="O50" s="53"/>
      <c r="P50" s="53"/>
      <c r="Q50" s="53"/>
      <c r="R50" s="53"/>
      <c r="S50" s="53"/>
      <c r="T50" s="27"/>
      <c r="U50" s="10"/>
      <c r="V50" s="27"/>
      <c r="W50" s="27"/>
      <c r="X50" s="27"/>
    </row>
    <row r="51" ht="14.25" customHeight="1">
      <c r="A51" s="51">
        <v>45832.0</v>
      </c>
      <c r="B51" s="52"/>
      <c r="C51" s="53"/>
      <c r="D51" s="53"/>
      <c r="E51" s="53">
        <f>0.5+0.5+9.5</f>
        <v>10.5</v>
      </c>
      <c r="F51" s="27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27"/>
      <c r="U51" s="10"/>
      <c r="V51" s="27"/>
      <c r="W51" s="27"/>
      <c r="X51" s="27"/>
    </row>
    <row r="52" ht="14.25" customHeight="1">
      <c r="A52" s="51">
        <v>45833.0</v>
      </c>
      <c r="B52" s="52"/>
      <c r="C52" s="53"/>
      <c r="D52" s="53"/>
      <c r="E52" s="53">
        <f>0.44</f>
        <v>0.44</v>
      </c>
      <c r="F52" s="27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27"/>
      <c r="U52" s="10"/>
      <c r="V52" s="27"/>
      <c r="W52" s="27"/>
      <c r="X52" s="27"/>
    </row>
    <row r="53" ht="14.25" customHeight="1">
      <c r="A53" s="51">
        <v>45833.0</v>
      </c>
      <c r="B53" s="12"/>
      <c r="C53" s="53"/>
      <c r="D53" s="53"/>
      <c r="E53" s="53">
        <f>199.5</f>
        <v>199.5</v>
      </c>
      <c r="F53" s="27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27"/>
      <c r="U53" s="10"/>
      <c r="V53" s="27"/>
      <c r="W53" s="27"/>
      <c r="X53" s="27"/>
    </row>
    <row r="54" ht="14.25" customHeight="1">
      <c r="A54" s="51">
        <v>45834.0</v>
      </c>
      <c r="B54" s="80" t="s">
        <v>173</v>
      </c>
      <c r="C54" s="55">
        <v>50000.0</v>
      </c>
      <c r="D54" s="53"/>
      <c r="E54" s="53">
        <f>7686.53</f>
        <v>7686.53</v>
      </c>
      <c r="F54" s="27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27"/>
      <c r="U54" s="10"/>
      <c r="V54" s="27"/>
      <c r="W54" s="27"/>
      <c r="X54" s="27"/>
    </row>
    <row r="55" ht="14.25" customHeight="1">
      <c r="A55" s="51">
        <v>45834.0</v>
      </c>
      <c r="B55" s="56"/>
      <c r="C55" s="53"/>
      <c r="D55" s="53"/>
      <c r="E55" s="53">
        <f>13000</f>
        <v>13000</v>
      </c>
      <c r="F55" s="27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27"/>
      <c r="U55" s="21"/>
      <c r="V55" s="27"/>
      <c r="W55" s="27"/>
      <c r="X55" s="27"/>
    </row>
    <row r="56" ht="14.25" customHeight="1">
      <c r="A56" s="51">
        <v>45835.0</v>
      </c>
      <c r="B56" s="80" t="s">
        <v>173</v>
      </c>
      <c r="C56" s="55">
        <v>100000.0</v>
      </c>
      <c r="D56" s="53"/>
      <c r="E56" s="53">
        <f>4501.29</f>
        <v>4501.29</v>
      </c>
      <c r="F56" s="27"/>
      <c r="G56" s="53"/>
      <c r="H56" s="53">
        <f>272066.9+743232.7</f>
        <v>1015299.6</v>
      </c>
      <c r="I56" s="53"/>
      <c r="J56" s="53"/>
      <c r="K56" s="53">
        <f>3032</f>
        <v>3032</v>
      </c>
      <c r="L56" s="53"/>
      <c r="M56" s="53"/>
      <c r="N56" s="53"/>
      <c r="O56" s="53"/>
      <c r="P56" s="53"/>
      <c r="Q56" s="53"/>
      <c r="R56" s="53"/>
      <c r="S56" s="53"/>
      <c r="T56" s="27"/>
      <c r="U56" s="21"/>
      <c r="V56" s="27"/>
      <c r="W56" s="27"/>
      <c r="X56" s="27"/>
    </row>
    <row r="57" ht="14.25" customHeight="1">
      <c r="A57" s="51">
        <v>45835.0</v>
      </c>
      <c r="B57" s="80" t="s">
        <v>63</v>
      </c>
      <c r="C57" s="55">
        <v>50000.0</v>
      </c>
      <c r="D57" s="53"/>
      <c r="E57" s="53">
        <f>200+499.5</f>
        <v>699.5</v>
      </c>
      <c r="F57" s="27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27"/>
      <c r="U57" s="21"/>
      <c r="V57" s="27"/>
      <c r="W57" s="27"/>
      <c r="X57" s="27"/>
    </row>
    <row r="58" ht="14.25" customHeight="1">
      <c r="A58" s="51">
        <v>45836.0</v>
      </c>
      <c r="B58" s="56"/>
      <c r="C58" s="53"/>
      <c r="D58" s="53"/>
      <c r="E58" s="53">
        <f>3550.9</f>
        <v>3550.9</v>
      </c>
      <c r="F58" s="27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27"/>
      <c r="U58" s="21"/>
      <c r="V58" s="27"/>
      <c r="W58" s="27"/>
      <c r="X58" s="27"/>
    </row>
    <row r="59" ht="14.25" customHeight="1">
      <c r="A59" s="51">
        <v>45836.0</v>
      </c>
      <c r="B59" s="52"/>
      <c r="C59" s="53"/>
      <c r="D59" s="53"/>
      <c r="E59" s="53"/>
      <c r="F59" s="27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27"/>
      <c r="U59" s="10"/>
      <c r="V59" s="27"/>
      <c r="W59" s="27"/>
      <c r="X59" s="27"/>
    </row>
    <row r="60" ht="14.25" customHeight="1">
      <c r="A60" s="51">
        <v>45837.0</v>
      </c>
      <c r="B60" s="54" t="s">
        <v>45</v>
      </c>
      <c r="C60" s="55">
        <v>7450.81</v>
      </c>
      <c r="D60" s="53"/>
      <c r="E60" s="53">
        <f>2239.8</f>
        <v>2239.8</v>
      </c>
      <c r="F60" s="27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27"/>
      <c r="V60" s="27"/>
      <c r="W60" s="27"/>
      <c r="X60" s="27"/>
    </row>
    <row r="61" ht="14.25" customHeight="1">
      <c r="A61" s="51">
        <v>45837.0</v>
      </c>
      <c r="B61" s="54" t="s">
        <v>45</v>
      </c>
      <c r="C61" s="55">
        <v>6829.11</v>
      </c>
      <c r="D61" s="53"/>
      <c r="E61" s="53"/>
      <c r="F61" s="27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27"/>
      <c r="V61" s="27"/>
      <c r="W61" s="27"/>
      <c r="X61" s="27"/>
    </row>
    <row r="62" ht="14.25" customHeight="1">
      <c r="A62" s="51">
        <v>45838.0</v>
      </c>
      <c r="B62" s="54" t="s">
        <v>64</v>
      </c>
      <c r="C62" s="55">
        <v>15000.0</v>
      </c>
      <c r="D62" s="53"/>
      <c r="E62" s="53">
        <f>133184.02</f>
        <v>133184.02</v>
      </c>
      <c r="F62" s="27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27"/>
      <c r="V62" s="27"/>
      <c r="W62" s="27"/>
      <c r="X62" s="27"/>
    </row>
    <row r="63" ht="14.25" customHeight="1">
      <c r="A63" s="51">
        <v>45838.0</v>
      </c>
      <c r="B63" s="54" t="s">
        <v>174</v>
      </c>
      <c r="C63" s="55">
        <v>37320.0</v>
      </c>
      <c r="D63" s="53"/>
      <c r="E63" s="53">
        <f>200+0.5+99.5</f>
        <v>300</v>
      </c>
      <c r="F63" s="27"/>
      <c r="G63" s="55">
        <v>19.73</v>
      </c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27"/>
      <c r="V63" s="27"/>
      <c r="W63" s="27"/>
      <c r="X63" s="27"/>
    </row>
    <row r="64" ht="14.25" customHeight="1">
      <c r="A64" s="82"/>
      <c r="B64" s="52"/>
      <c r="C64" s="53"/>
      <c r="D64" s="53"/>
      <c r="E64" s="53"/>
      <c r="F64" s="27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27"/>
      <c r="V64" s="27"/>
      <c r="W64" s="27"/>
      <c r="X64" s="27"/>
    </row>
    <row r="65" ht="14.25" customHeight="1">
      <c r="A65" s="93"/>
      <c r="B65" s="94"/>
      <c r="C65" s="73"/>
      <c r="D65" s="73"/>
      <c r="E65" s="73"/>
      <c r="F65" s="27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27"/>
      <c r="V65" s="27"/>
      <c r="W65" s="27"/>
      <c r="X65" s="27"/>
    </row>
    <row r="66" ht="14.25" customHeight="1">
      <c r="A66" s="95" t="s">
        <v>47</v>
      </c>
      <c r="B66" s="43"/>
      <c r="C66" s="43">
        <f>SUM(C4:C65)</f>
        <v>3182833.37</v>
      </c>
      <c r="D66" s="43">
        <f t="shared" ref="D66:T66" si="1">SUM(D3:D65)</f>
        <v>0</v>
      </c>
      <c r="E66" s="43">
        <f t="shared" si="1"/>
        <v>697633.27</v>
      </c>
      <c r="F66" s="43">
        <f t="shared" si="1"/>
        <v>0</v>
      </c>
      <c r="G66" s="43">
        <f t="shared" si="1"/>
        <v>19.73</v>
      </c>
      <c r="H66" s="43">
        <f t="shared" si="1"/>
        <v>1350162.6</v>
      </c>
      <c r="I66" s="43">
        <f t="shared" si="1"/>
        <v>1278404.12</v>
      </c>
      <c r="J66" s="43">
        <f t="shared" si="1"/>
        <v>4256656.9</v>
      </c>
      <c r="K66" s="43">
        <f t="shared" si="1"/>
        <v>224582</v>
      </c>
      <c r="L66" s="43">
        <f t="shared" si="1"/>
        <v>0</v>
      </c>
      <c r="M66" s="96">
        <f t="shared" si="1"/>
        <v>444900</v>
      </c>
      <c r="N66" s="43">
        <f t="shared" si="1"/>
        <v>284748.51</v>
      </c>
      <c r="O66" s="96">
        <f t="shared" si="1"/>
        <v>30000</v>
      </c>
      <c r="P66" s="43">
        <f t="shared" si="1"/>
        <v>408436.56</v>
      </c>
      <c r="Q66" s="43">
        <f t="shared" si="1"/>
        <v>88000</v>
      </c>
      <c r="R66" s="96">
        <f t="shared" si="1"/>
        <v>1720</v>
      </c>
      <c r="S66" s="43">
        <f t="shared" si="1"/>
        <v>368608</v>
      </c>
      <c r="T66" s="75">
        <f t="shared" si="1"/>
        <v>2632752.96</v>
      </c>
      <c r="U66" s="45"/>
      <c r="V66" s="45"/>
      <c r="W66" s="45"/>
      <c r="X66" s="45"/>
    </row>
    <row r="67" ht="14.25" customHeight="1">
      <c r="A67" s="89"/>
    </row>
    <row r="68" ht="14.25" customHeight="1">
      <c r="A68" s="89"/>
      <c r="B68" s="14"/>
      <c r="C68" s="14"/>
    </row>
    <row r="69" ht="14.25" customHeight="1">
      <c r="A69" s="89"/>
      <c r="B69" s="14"/>
      <c r="C69" s="14"/>
    </row>
    <row r="70" ht="14.25" customHeight="1">
      <c r="A70" s="89"/>
      <c r="B70" s="14"/>
    </row>
    <row r="71" ht="14.25" customHeight="1">
      <c r="A71" s="89"/>
      <c r="B71" s="14"/>
    </row>
    <row r="72" ht="14.25" customHeight="1">
      <c r="A72" s="89"/>
    </row>
    <row r="73" ht="14.25" customHeight="1">
      <c r="A73" s="89"/>
    </row>
    <row r="74" ht="14.25" customHeight="1">
      <c r="A74" s="89"/>
    </row>
    <row r="75" ht="14.25" customHeight="1">
      <c r="A75" s="89"/>
    </row>
    <row r="76" ht="14.25" customHeight="1">
      <c r="A76" s="89"/>
      <c r="E76" s="76">
        <f>C66+D66+E66</f>
        <v>3880466.64</v>
      </c>
    </row>
    <row r="77" ht="14.25" customHeight="1">
      <c r="A77" s="89"/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4.25" customHeight="1">
      <c r="A265" s="89"/>
    </row>
    <row r="266" ht="14.25" customHeight="1">
      <c r="A266" s="89"/>
    </row>
    <row r="267" ht="15.75" customHeight="1">
      <c r="A267" s="89"/>
    </row>
    <row r="268" ht="15.75" customHeight="1">
      <c r="A268" s="89"/>
    </row>
    <row r="269" ht="15.75" customHeight="1">
      <c r="A269" s="89"/>
    </row>
    <row r="270" ht="15.75" customHeight="1">
      <c r="A270" s="89"/>
    </row>
    <row r="271" ht="15.7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6.86"/>
    <col customWidth="1" min="5" max="5" width="17.57"/>
    <col customWidth="1" hidden="1" min="6" max="6" width="12.43"/>
    <col customWidth="1" min="7" max="7" width="19.0"/>
    <col customWidth="1" min="8" max="8" width="14.14"/>
    <col customWidth="1" min="9" max="9" width="15.14"/>
    <col customWidth="1" min="10" max="10" width="13.43"/>
    <col customWidth="1" min="11" max="11" width="16.86"/>
    <col customWidth="1" min="12" max="12" width="12.0"/>
    <col customWidth="1" min="13" max="13" width="12.43"/>
    <col customWidth="1" min="14" max="14" width="11.29"/>
    <col customWidth="1" min="16" max="16" width="8.71"/>
    <col customWidth="1" min="17" max="17" width="11.0"/>
    <col customWidth="1" min="18" max="18" width="10.86"/>
    <col customWidth="1" min="19" max="20" width="11.57"/>
    <col customWidth="1" min="21" max="21" width="59.71"/>
    <col customWidth="1" min="22" max="24" width="8.71"/>
  </cols>
  <sheetData>
    <row r="1" ht="61.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47.2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77" t="s">
        <v>143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77" t="s">
        <v>144</v>
      </c>
      <c r="S2" s="77" t="s">
        <v>175</v>
      </c>
      <c r="T2" s="6"/>
      <c r="U2" s="8"/>
    </row>
    <row r="3" ht="14.25" customHeight="1">
      <c r="A3" s="90"/>
      <c r="B3" s="49"/>
      <c r="C3" s="50"/>
      <c r="D3" s="50"/>
      <c r="E3" s="50"/>
      <c r="F3" s="27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>
        <f>5+5+5+5+5+5+5+5+5+5+5+5+5+5+5+5+5+5+5+5+5+5+5+5+5+5+5+80+45.01+5+5+87.51+5+5+5+5+5+5+5+5+5+5+5+5+5+5+5+5+5+5+5+5+5+5+5+5+5+5+5+5+5+5+5+5+5+5+15+5+5+5+5+5+5+5+5+5+15+5+5+5+5+5+5+5+5+5+5+5+5+5+5+5+5+5+5+5+5+5+5+5+80+5+5+5+5+5+87.51+5+5+5+5+5+5+5+5+45.01+5+5+5+5</f>
        <v>1015.04</v>
      </c>
      <c r="U3" s="17" t="s">
        <v>20</v>
      </c>
      <c r="V3" s="27"/>
      <c r="W3" s="27"/>
      <c r="X3" s="27"/>
    </row>
    <row r="4" ht="14.25" customHeight="1">
      <c r="A4" s="51">
        <v>45839.0</v>
      </c>
      <c r="B4" s="54" t="s">
        <v>173</v>
      </c>
      <c r="C4" s="84">
        <v>100000.0</v>
      </c>
      <c r="D4" s="53"/>
      <c r="E4" s="53">
        <f>24850+489.17+244.93+50</f>
        <v>25634.1</v>
      </c>
      <c r="F4" s="27"/>
      <c r="G4" s="53"/>
      <c r="H4" s="53"/>
      <c r="I4" s="53"/>
      <c r="J4" s="53"/>
      <c r="K4" s="53">
        <f>15960+15050+22600+14270</f>
        <v>67880</v>
      </c>
      <c r="L4" s="53"/>
      <c r="M4" s="53"/>
      <c r="N4" s="53">
        <f>11520+6750+14400</f>
        <v>32670</v>
      </c>
      <c r="O4" s="53"/>
      <c r="P4" s="53"/>
      <c r="Q4" s="53"/>
      <c r="R4" s="53"/>
      <c r="S4" s="53"/>
      <c r="T4" s="27">
        <f>10869.56</f>
        <v>10869.56</v>
      </c>
      <c r="U4" s="21" t="s">
        <v>65</v>
      </c>
      <c r="V4" s="27"/>
      <c r="W4" s="27"/>
      <c r="X4" s="27"/>
    </row>
    <row r="5" ht="14.25" customHeight="1">
      <c r="A5" s="51">
        <v>45839.0</v>
      </c>
      <c r="B5" s="52"/>
      <c r="C5" s="91"/>
      <c r="D5" s="53"/>
      <c r="E5" s="53">
        <f>49.5</f>
        <v>49.5</v>
      </c>
      <c r="F5" s="27"/>
      <c r="G5" s="53"/>
      <c r="H5" s="53"/>
      <c r="I5" s="53"/>
      <c r="J5" s="53"/>
      <c r="K5" s="53">
        <f>16920+21280</f>
        <v>38200</v>
      </c>
      <c r="L5" s="53"/>
      <c r="M5" s="53"/>
      <c r="N5" s="53">
        <f>1100+756</f>
        <v>1856</v>
      </c>
      <c r="O5" s="53"/>
      <c r="P5" s="53"/>
      <c r="Q5" s="53"/>
      <c r="R5" s="53"/>
      <c r="S5" s="53"/>
      <c r="T5" s="27">
        <f>5000+19430+9300+14150+15200+16780+15200+19430+1806+53039+5000+5600+19430+30400+44200+9300+65400+15200+16780+15200+19430+14150+65400+54800+10803</f>
        <v>560428</v>
      </c>
      <c r="U5" s="17" t="s">
        <v>25</v>
      </c>
      <c r="V5" s="27"/>
      <c r="W5" s="27"/>
      <c r="X5" s="27"/>
    </row>
    <row r="6" ht="14.25" customHeight="1">
      <c r="A6" s="51">
        <v>45840.0</v>
      </c>
      <c r="B6" s="52"/>
      <c r="C6" s="91"/>
      <c r="D6" s="53"/>
      <c r="E6" s="53">
        <f>2730.31+200</f>
        <v>2930.31</v>
      </c>
      <c r="F6" s="27"/>
      <c r="G6" s="53"/>
      <c r="H6" s="53"/>
      <c r="I6" s="53"/>
      <c r="J6" s="53"/>
      <c r="K6" s="53">
        <f>37320</f>
        <v>37320</v>
      </c>
      <c r="L6" s="53"/>
      <c r="M6" s="53"/>
      <c r="N6" s="53">
        <f>4191.32+6612+1050</f>
        <v>11853.32</v>
      </c>
      <c r="O6" s="53"/>
      <c r="P6" s="53"/>
      <c r="Q6" s="53">
        <f>50000</f>
        <v>50000</v>
      </c>
      <c r="R6" s="53"/>
      <c r="S6" s="53"/>
      <c r="T6" s="26">
        <v>2228.0</v>
      </c>
      <c r="U6" s="22" t="s">
        <v>176</v>
      </c>
      <c r="V6" s="27"/>
      <c r="W6" s="27"/>
      <c r="X6" s="27"/>
    </row>
    <row r="7" ht="14.25" customHeight="1">
      <c r="A7" s="51">
        <v>45840.0</v>
      </c>
      <c r="B7" s="52"/>
      <c r="C7" s="91"/>
      <c r="D7" s="53"/>
      <c r="E7" s="53">
        <f>200</f>
        <v>200</v>
      </c>
      <c r="F7" s="27"/>
      <c r="G7" s="53"/>
      <c r="H7" s="53"/>
      <c r="I7" s="53"/>
      <c r="J7" s="53"/>
      <c r="K7" s="53"/>
      <c r="L7" s="53"/>
      <c r="M7" s="53"/>
      <c r="N7" s="53">
        <f>1290</f>
        <v>1290</v>
      </c>
      <c r="O7" s="53"/>
      <c r="P7" s="53"/>
      <c r="Q7" s="53"/>
      <c r="R7" s="53"/>
      <c r="S7" s="53"/>
      <c r="T7" s="27">
        <f>143.43</f>
        <v>143.43</v>
      </c>
      <c r="U7" s="17" t="s">
        <v>92</v>
      </c>
      <c r="V7" s="27"/>
      <c r="W7" s="27"/>
      <c r="X7" s="27"/>
    </row>
    <row r="8" ht="14.25" customHeight="1">
      <c r="A8" s="51">
        <v>45841.0</v>
      </c>
      <c r="B8" s="80" t="s">
        <v>173</v>
      </c>
      <c r="C8" s="55">
        <v>100000.0</v>
      </c>
      <c r="D8" s="53"/>
      <c r="E8" s="53">
        <f>266.94+629.26</f>
        <v>896.2</v>
      </c>
      <c r="F8" s="27"/>
      <c r="G8" s="53"/>
      <c r="H8" s="53"/>
      <c r="I8" s="53"/>
      <c r="J8" s="53"/>
      <c r="K8" s="53">
        <f>24850</f>
        <v>24850</v>
      </c>
      <c r="L8" s="53"/>
      <c r="M8" s="53"/>
      <c r="N8" s="53">
        <f>1041+17245+9812.1</f>
        <v>28098.1</v>
      </c>
      <c r="O8" s="53"/>
      <c r="P8" s="53"/>
      <c r="Q8" s="53"/>
      <c r="R8" s="53"/>
      <c r="S8" s="53"/>
      <c r="T8" s="27">
        <f>2449.58+2449.58</f>
        <v>4899.16</v>
      </c>
      <c r="U8" s="17" t="s">
        <v>67</v>
      </c>
      <c r="V8" s="27"/>
      <c r="W8" s="27"/>
      <c r="X8" s="27"/>
    </row>
    <row r="9" ht="14.25" customHeight="1">
      <c r="A9" s="51">
        <v>45841.0</v>
      </c>
      <c r="B9" s="56"/>
      <c r="C9" s="53"/>
      <c r="D9" s="53"/>
      <c r="E9" s="53">
        <f>12000+199.5+0.5+0.5</f>
        <v>12200.5</v>
      </c>
      <c r="F9" s="27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>
        <f>6500</f>
        <v>6500</v>
      </c>
      <c r="U9" s="22" t="s">
        <v>177</v>
      </c>
      <c r="V9" s="27"/>
      <c r="W9" s="27"/>
      <c r="X9" s="27"/>
    </row>
    <row r="10" ht="14.25" customHeight="1">
      <c r="A10" s="51">
        <v>45842.0</v>
      </c>
      <c r="B10" s="56"/>
      <c r="C10" s="53"/>
      <c r="D10" s="53"/>
      <c r="E10" s="53">
        <f>2300+300+300+1044.25+1030.58+102.78+498</f>
        <v>5575.61</v>
      </c>
      <c r="F10" s="27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>
        <f>5218.59+15003.45+16000.6+9001.3+17502.1+15003.45+17502.1+50003.8+16000.6+15003.45+5116.78+17502.1+50003.8+15003.45+15003.45+17502.1+9001.3</f>
        <v>305372.42</v>
      </c>
      <c r="U10" s="17" t="s">
        <v>28</v>
      </c>
      <c r="V10" s="27"/>
      <c r="W10" s="27"/>
      <c r="X10" s="27"/>
    </row>
    <row r="11" ht="14.25" customHeight="1">
      <c r="A11" s="51">
        <v>45842.0</v>
      </c>
      <c r="B11" s="56"/>
      <c r="C11" s="53"/>
      <c r="D11" s="53"/>
      <c r="E11" s="53">
        <f>9.5</f>
        <v>9.5</v>
      </c>
      <c r="F11" s="27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>
        <f>363.41</f>
        <v>363.41</v>
      </c>
      <c r="U11" s="21" t="s">
        <v>88</v>
      </c>
      <c r="V11" s="27"/>
      <c r="W11" s="27"/>
      <c r="X11" s="27"/>
    </row>
    <row r="12" ht="14.25" customHeight="1">
      <c r="A12" s="51">
        <v>45843.0</v>
      </c>
      <c r="B12" s="56"/>
      <c r="C12" s="53"/>
      <c r="D12" s="53"/>
      <c r="E12" s="53">
        <f>898.36+17.52+142.12</f>
        <v>1058</v>
      </c>
      <c r="F12" s="27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>
        <f>27119.7+8349.53+33146.3+7533.25+1897.62+6831.43+28315.83+34608.24+2774.51+7865.51+9118.8+2533+11145.2</f>
        <v>181238.92</v>
      </c>
      <c r="U12" s="17" t="s">
        <v>29</v>
      </c>
      <c r="V12" s="27"/>
      <c r="W12" s="27"/>
      <c r="X12" s="27"/>
    </row>
    <row r="13" ht="14.25" customHeight="1">
      <c r="A13" s="51">
        <v>45843.0</v>
      </c>
      <c r="B13" s="56"/>
      <c r="C13" s="53"/>
      <c r="D13" s="53"/>
      <c r="E13" s="53">
        <f>100+0.5</f>
        <v>100.5</v>
      </c>
      <c r="F13" s="27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27">
        <f>770</f>
        <v>770</v>
      </c>
      <c r="U13" s="27" t="s">
        <v>69</v>
      </c>
      <c r="V13" s="27"/>
      <c r="W13" s="27"/>
      <c r="X13" s="27"/>
    </row>
    <row r="14" ht="14.25" customHeight="1">
      <c r="A14" s="51">
        <v>45844.0</v>
      </c>
      <c r="B14" s="56"/>
      <c r="C14" s="53"/>
      <c r="D14" s="53"/>
      <c r="E14" s="53">
        <f>521.24</f>
        <v>521.24</v>
      </c>
      <c r="F14" s="27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27">
        <f>2150</f>
        <v>2150</v>
      </c>
      <c r="U14" s="33" t="s">
        <v>178</v>
      </c>
      <c r="V14" s="27"/>
      <c r="W14" s="27"/>
      <c r="X14" s="27"/>
    </row>
    <row r="15" ht="14.25" customHeight="1">
      <c r="A15" s="51">
        <v>45844.0</v>
      </c>
      <c r="B15" s="56"/>
      <c r="C15" s="53"/>
      <c r="D15" s="53"/>
      <c r="E15" s="53">
        <f>100+9.5+0.5</f>
        <v>110</v>
      </c>
      <c r="F15" s="27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>
        <f>800</f>
        <v>800</v>
      </c>
      <c r="U15" s="10" t="s">
        <v>24</v>
      </c>
      <c r="V15" s="27"/>
      <c r="W15" s="27"/>
      <c r="X15" s="27"/>
    </row>
    <row r="16" ht="14.25" customHeight="1">
      <c r="A16" s="51">
        <v>45845.0</v>
      </c>
      <c r="B16" s="52"/>
      <c r="C16" s="12"/>
      <c r="D16" s="53"/>
      <c r="E16" s="53">
        <f>200+3236.55+250.4+39.79</f>
        <v>3726.74</v>
      </c>
      <c r="F16" s="27"/>
      <c r="G16" s="53"/>
      <c r="H16" s="53"/>
      <c r="I16" s="53"/>
      <c r="J16" s="53"/>
      <c r="K16" s="53"/>
      <c r="L16" s="53"/>
      <c r="M16" s="53"/>
      <c r="N16" s="53">
        <f>7200</f>
        <v>7200</v>
      </c>
      <c r="O16" s="53"/>
      <c r="P16" s="53"/>
      <c r="Q16" s="53"/>
      <c r="R16" s="53"/>
      <c r="S16" s="53"/>
      <c r="T16" s="27">
        <f>1275</f>
        <v>1275</v>
      </c>
      <c r="U16" s="21" t="s">
        <v>72</v>
      </c>
      <c r="V16" s="27"/>
      <c r="W16" s="27"/>
      <c r="X16" s="27"/>
    </row>
    <row r="17" ht="14.25" customHeight="1">
      <c r="A17" s="51">
        <v>45845.0</v>
      </c>
      <c r="B17" s="52"/>
      <c r="C17" s="12"/>
      <c r="D17" s="53"/>
      <c r="E17" s="53">
        <f>9.5</f>
        <v>9.5</v>
      </c>
      <c r="F17" s="27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>
        <f>520</f>
        <v>520</v>
      </c>
      <c r="U17" s="22" t="s">
        <v>179</v>
      </c>
      <c r="V17" s="27"/>
      <c r="W17" s="27"/>
      <c r="X17" s="27"/>
    </row>
    <row r="18" ht="14.25" customHeight="1">
      <c r="A18" s="51">
        <v>45846.0</v>
      </c>
      <c r="B18" s="56"/>
      <c r="C18" s="53"/>
      <c r="D18" s="53"/>
      <c r="E18" s="53">
        <f>100+345.65</f>
        <v>445.65</v>
      </c>
      <c r="F18" s="27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27">
        <f>45000</f>
        <v>45000</v>
      </c>
      <c r="U18" s="17" t="s">
        <v>73</v>
      </c>
      <c r="V18" s="27"/>
      <c r="W18" s="27"/>
      <c r="X18" s="27"/>
    </row>
    <row r="19" ht="14.25" customHeight="1">
      <c r="A19" s="51">
        <v>45846.0</v>
      </c>
      <c r="B19" s="80" t="s">
        <v>173</v>
      </c>
      <c r="C19" s="55">
        <v>100000.0</v>
      </c>
      <c r="D19" s="53"/>
      <c r="E19" s="53">
        <f>500+9.5</f>
        <v>509.5</v>
      </c>
      <c r="F19" s="27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27">
        <f>1485</f>
        <v>1485</v>
      </c>
      <c r="U19" s="28" t="s">
        <v>180</v>
      </c>
      <c r="V19" s="27"/>
      <c r="W19" s="27"/>
      <c r="X19" s="27"/>
    </row>
    <row r="20" ht="14.25" customHeight="1">
      <c r="A20" s="51">
        <v>45847.0</v>
      </c>
      <c r="B20" s="80" t="s">
        <v>181</v>
      </c>
      <c r="C20" s="55">
        <v>3632244.26</v>
      </c>
      <c r="D20" s="53"/>
      <c r="E20" s="53">
        <f>8560.53</f>
        <v>8560.53</v>
      </c>
      <c r="F20" s="27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26">
        <v>22025.0</v>
      </c>
      <c r="U20" s="28" t="s">
        <v>182</v>
      </c>
      <c r="V20" s="27"/>
      <c r="W20" s="27"/>
      <c r="X20" s="27"/>
    </row>
    <row r="21" ht="14.25" customHeight="1">
      <c r="A21" s="51">
        <v>45847.0</v>
      </c>
      <c r="B21" s="31" t="s">
        <v>183</v>
      </c>
      <c r="C21" s="55">
        <v>345000.0</v>
      </c>
      <c r="D21" s="53"/>
      <c r="E21" s="53">
        <f>10000+2253</f>
        <v>12253</v>
      </c>
      <c r="F21" s="27"/>
      <c r="G21" s="53"/>
      <c r="H21" s="53"/>
      <c r="I21" s="53"/>
      <c r="J21" s="53"/>
      <c r="K21" s="53"/>
      <c r="L21" s="53"/>
      <c r="M21" s="53"/>
      <c r="N21" s="53">
        <f>807</f>
        <v>807</v>
      </c>
      <c r="O21" s="53"/>
      <c r="P21" s="53"/>
      <c r="Q21" s="53"/>
      <c r="R21" s="53"/>
      <c r="S21" s="53"/>
      <c r="T21" s="27">
        <f>2688</f>
        <v>2688</v>
      </c>
      <c r="U21" s="28" t="s">
        <v>184</v>
      </c>
      <c r="V21" s="27"/>
      <c r="W21" s="27"/>
      <c r="X21" s="27"/>
    </row>
    <row r="22" ht="14.25" customHeight="1">
      <c r="A22" s="51">
        <v>45848.0</v>
      </c>
      <c r="B22" s="80" t="s">
        <v>108</v>
      </c>
      <c r="C22" s="55">
        <v>9433.06</v>
      </c>
      <c r="D22" s="53"/>
      <c r="E22" s="53">
        <f>100+2000+99.5</f>
        <v>2199.5</v>
      </c>
      <c r="F22" s="27"/>
      <c r="G22" s="53"/>
      <c r="H22" s="53"/>
      <c r="I22" s="53"/>
      <c r="J22" s="53">
        <f>1019076.5</f>
        <v>1019076.5</v>
      </c>
      <c r="K22" s="53"/>
      <c r="L22" s="53"/>
      <c r="M22" s="53"/>
      <c r="N22" s="53">
        <f>1350</f>
        <v>1350</v>
      </c>
      <c r="O22" s="53">
        <f>309515</f>
        <v>309515</v>
      </c>
      <c r="P22" s="53"/>
      <c r="Q22" s="53"/>
      <c r="R22" s="53"/>
      <c r="S22" s="53"/>
      <c r="T22" s="27">
        <f>1704.97</f>
        <v>1704.97</v>
      </c>
      <c r="U22" s="22" t="s">
        <v>185</v>
      </c>
      <c r="V22" s="27"/>
      <c r="W22" s="27"/>
      <c r="X22" s="27"/>
    </row>
    <row r="23" ht="14.25" customHeight="1">
      <c r="A23" s="51">
        <v>45848.0</v>
      </c>
      <c r="B23" s="80" t="s">
        <v>173</v>
      </c>
      <c r="C23" s="55">
        <v>84300.0</v>
      </c>
      <c r="D23" s="53"/>
      <c r="E23" s="55">
        <v>7747.0</v>
      </c>
      <c r="F23" s="27"/>
      <c r="G23" s="53"/>
      <c r="H23" s="53"/>
      <c r="I23" s="53"/>
      <c r="J23" s="53"/>
      <c r="K23" s="53"/>
      <c r="L23" s="53"/>
      <c r="M23" s="53"/>
      <c r="N23" s="53">
        <f>1900+1703.5</f>
        <v>3603.5</v>
      </c>
      <c r="O23" s="53"/>
      <c r="P23" s="53">
        <f>27577</f>
        <v>27577</v>
      </c>
      <c r="Q23" s="53"/>
      <c r="R23" s="53"/>
      <c r="S23" s="53"/>
      <c r="T23" s="26">
        <v>20000.0</v>
      </c>
      <c r="U23" s="32" t="s">
        <v>186</v>
      </c>
      <c r="V23" s="27"/>
      <c r="W23" s="27"/>
      <c r="X23" s="27"/>
    </row>
    <row r="24" ht="14.25" customHeight="1">
      <c r="A24" s="51">
        <v>45849.0</v>
      </c>
      <c r="B24" s="56"/>
      <c r="C24" s="53"/>
      <c r="D24" s="53"/>
      <c r="E24" s="53">
        <f>101680</f>
        <v>101680</v>
      </c>
      <c r="F24" s="27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6">
        <v>46000.0</v>
      </c>
      <c r="U24" s="22" t="s">
        <v>187</v>
      </c>
      <c r="V24" s="27"/>
      <c r="W24" s="27"/>
      <c r="X24" s="27"/>
    </row>
    <row r="25" ht="14.25" customHeight="1">
      <c r="A25" s="51">
        <v>45849.0</v>
      </c>
      <c r="B25" s="52"/>
      <c r="C25" s="53"/>
      <c r="D25" s="53"/>
      <c r="E25" s="53">
        <f>6712.63</f>
        <v>6712.63</v>
      </c>
      <c r="F25" s="2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>
        <f>3630+1445</f>
        <v>5075</v>
      </c>
      <c r="U25" s="10" t="s">
        <v>79</v>
      </c>
      <c r="V25" s="27"/>
      <c r="W25" s="27"/>
      <c r="X25" s="27"/>
    </row>
    <row r="26" ht="14.25" customHeight="1">
      <c r="A26" s="51">
        <v>45850.0</v>
      </c>
      <c r="B26" s="12"/>
      <c r="C26" s="12"/>
      <c r="D26" s="53"/>
      <c r="E26" s="53">
        <f>2000+0.5</f>
        <v>2000.5</v>
      </c>
      <c r="F26" s="27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27">
        <f>38000</f>
        <v>38000</v>
      </c>
      <c r="U26" s="33" t="s">
        <v>188</v>
      </c>
      <c r="V26" s="27"/>
      <c r="W26" s="27"/>
      <c r="X26" s="27"/>
    </row>
    <row r="27" ht="14.25" customHeight="1">
      <c r="A27" s="51">
        <v>45850.0</v>
      </c>
      <c r="B27" s="12"/>
      <c r="C27" s="12"/>
      <c r="D27" s="53"/>
      <c r="E27" s="53">
        <f>20000</f>
        <v>20000</v>
      </c>
      <c r="F27" s="27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27">
        <f>79715</f>
        <v>79715</v>
      </c>
      <c r="U27" s="10" t="s">
        <v>39</v>
      </c>
      <c r="V27" s="27"/>
      <c r="W27" s="27"/>
      <c r="X27" s="27"/>
    </row>
    <row r="28" ht="14.25" customHeight="1">
      <c r="A28" s="51">
        <v>45851.0</v>
      </c>
      <c r="B28" s="12"/>
      <c r="C28" s="12"/>
      <c r="D28" s="53"/>
      <c r="E28" s="53">
        <f>399.5+500+9.5+149.5</f>
        <v>1058.5</v>
      </c>
      <c r="F28" s="27"/>
      <c r="G28" s="53"/>
      <c r="H28" s="53"/>
      <c r="I28" s="53"/>
      <c r="J28" s="53"/>
      <c r="K28" s="53"/>
      <c r="L28" s="53"/>
      <c r="M28" s="15"/>
      <c r="N28" s="53"/>
      <c r="O28" s="53"/>
      <c r="P28" s="53"/>
      <c r="Q28" s="53"/>
      <c r="R28" s="53"/>
      <c r="S28" s="53"/>
      <c r="T28" s="27">
        <f>600+500</f>
        <v>1100</v>
      </c>
      <c r="U28" s="28" t="s">
        <v>189</v>
      </c>
      <c r="V28" s="27"/>
      <c r="W28" s="27"/>
      <c r="X28" s="27"/>
    </row>
    <row r="29" ht="14.25" customHeight="1">
      <c r="A29" s="51">
        <v>45851.0</v>
      </c>
      <c r="B29" s="12"/>
      <c r="C29" s="12"/>
      <c r="D29" s="53"/>
      <c r="E29" s="53">
        <f>8354.12</f>
        <v>8354.12</v>
      </c>
      <c r="F29" s="27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27">
        <f>792</f>
        <v>792</v>
      </c>
      <c r="U29" s="10" t="s">
        <v>81</v>
      </c>
      <c r="V29" s="27"/>
      <c r="W29" s="27"/>
      <c r="X29" s="27"/>
    </row>
    <row r="30" ht="14.25" customHeight="1">
      <c r="A30" s="51">
        <v>45852.0</v>
      </c>
      <c r="B30" s="12"/>
      <c r="C30" s="12"/>
      <c r="D30" s="53"/>
      <c r="E30" s="53">
        <f>1485+24.5+49.5+0.5</f>
        <v>1559.5</v>
      </c>
      <c r="F30" s="27"/>
      <c r="G30" s="53"/>
      <c r="I30" s="53"/>
      <c r="J30" s="53"/>
      <c r="K30" s="53"/>
      <c r="L30" s="53">
        <f>44250+43675</f>
        <v>87925</v>
      </c>
      <c r="M30" s="53"/>
      <c r="N30" s="53"/>
      <c r="O30" s="53"/>
      <c r="P30" s="53"/>
      <c r="Q30" s="53"/>
      <c r="R30" s="53"/>
      <c r="S30" s="53"/>
      <c r="T30" s="27"/>
      <c r="U30" s="10"/>
      <c r="V30" s="27"/>
      <c r="W30" s="27"/>
      <c r="X30" s="27"/>
    </row>
    <row r="31" ht="14.25" customHeight="1">
      <c r="A31" s="51">
        <v>45852.0</v>
      </c>
      <c r="B31" s="12"/>
      <c r="C31" s="12"/>
      <c r="D31" s="53"/>
      <c r="E31" s="53">
        <f>1062.27</f>
        <v>1062.27</v>
      </c>
      <c r="F31" s="27"/>
      <c r="G31" s="53"/>
      <c r="H31" s="53"/>
      <c r="I31" s="53">
        <f>2500</f>
        <v>2500</v>
      </c>
      <c r="J31" s="53"/>
      <c r="K31" s="53"/>
      <c r="L31" s="53"/>
      <c r="M31" s="53"/>
      <c r="N31" s="53">
        <f>756+320+1014+3000</f>
        <v>5090</v>
      </c>
      <c r="O31" s="53"/>
      <c r="P31" s="53"/>
      <c r="Q31" s="53"/>
      <c r="R31" s="53"/>
      <c r="S31" s="53">
        <f>18069+22675+18069+48490+15435</f>
        <v>122738</v>
      </c>
      <c r="T31" s="27">
        <f>1745+2157+1296.75</f>
        <v>5198.75</v>
      </c>
      <c r="U31" s="21" t="s">
        <v>21</v>
      </c>
      <c r="V31" s="27"/>
      <c r="W31" s="27"/>
      <c r="X31" s="27"/>
    </row>
    <row r="32" ht="14.25" customHeight="1">
      <c r="A32" s="51">
        <v>45853.0</v>
      </c>
      <c r="B32" s="97" t="s">
        <v>130</v>
      </c>
      <c r="C32" s="55">
        <v>1226407.5</v>
      </c>
      <c r="D32" s="53">
        <f>3199.5+6000+199.5+0.5</f>
        <v>9399.5</v>
      </c>
      <c r="E32" s="53">
        <f>390.47</f>
        <v>390.47</v>
      </c>
      <c r="F32" s="27"/>
      <c r="G32" s="53"/>
      <c r="H32" s="53"/>
      <c r="I32" s="53"/>
      <c r="J32" s="53"/>
      <c r="K32" s="53">
        <f>28400+14700+36880+21700</f>
        <v>101680</v>
      </c>
      <c r="L32" s="53"/>
      <c r="M32" s="53"/>
      <c r="N32" s="53">
        <f>1003.46+600+1620</f>
        <v>3223.46</v>
      </c>
      <c r="O32" s="53"/>
      <c r="P32" s="53"/>
      <c r="Q32" s="53"/>
      <c r="R32" s="53">
        <f>2774.2+3390.68+770.61+11867.39</f>
        <v>18802.88</v>
      </c>
      <c r="S32" s="53">
        <f>1762</f>
        <v>1762</v>
      </c>
      <c r="T32" s="27">
        <f>3850</f>
        <v>3850</v>
      </c>
      <c r="U32" s="33" t="s">
        <v>190</v>
      </c>
      <c r="V32" s="27"/>
      <c r="W32" s="27"/>
      <c r="X32" s="27"/>
    </row>
    <row r="33" ht="14.25" customHeight="1">
      <c r="A33" s="51">
        <v>45853.0</v>
      </c>
      <c r="B33" s="80"/>
      <c r="C33" s="53"/>
      <c r="D33" s="53"/>
      <c r="E33" s="53">
        <f>2000</f>
        <v>2000</v>
      </c>
      <c r="F33" s="27"/>
      <c r="G33" s="53"/>
      <c r="H33" s="15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>
        <f>4200</f>
        <v>4200</v>
      </c>
      <c r="U33" s="28" t="s">
        <v>191</v>
      </c>
      <c r="V33" s="27"/>
      <c r="W33" s="27"/>
      <c r="X33" s="27"/>
    </row>
    <row r="34" ht="14.25" customHeight="1">
      <c r="A34" s="51">
        <v>45854.0</v>
      </c>
      <c r="B34" s="80" t="s">
        <v>192</v>
      </c>
      <c r="C34" s="55">
        <v>10000.0</v>
      </c>
      <c r="D34" s="53">
        <f>219.5+500+200+500+249.5+200+9.5</f>
        <v>1878.5</v>
      </c>
      <c r="E34" s="53">
        <f>8585</f>
        <v>8585</v>
      </c>
      <c r="F34" s="27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27">
        <f>1709.27+1765.5</f>
        <v>3474.77</v>
      </c>
      <c r="U34" s="21" t="s">
        <v>84</v>
      </c>
      <c r="V34" s="27"/>
      <c r="W34" s="27"/>
      <c r="X34" s="27"/>
    </row>
    <row r="35" ht="14.25" customHeight="1">
      <c r="A35" s="51">
        <v>45854.0</v>
      </c>
      <c r="B35" s="80" t="s">
        <v>44</v>
      </c>
      <c r="C35" s="55">
        <v>3416.22</v>
      </c>
      <c r="D35" s="53"/>
      <c r="E35" s="53"/>
      <c r="F35" s="27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7">
        <f>22850+14350</f>
        <v>37200</v>
      </c>
      <c r="U35" s="10" t="s">
        <v>85</v>
      </c>
      <c r="V35" s="27"/>
      <c r="W35" s="27"/>
      <c r="X35" s="27"/>
    </row>
    <row r="36" ht="14.25" customHeight="1">
      <c r="A36" s="51">
        <v>45855.0</v>
      </c>
      <c r="B36" s="56"/>
      <c r="C36" s="53"/>
      <c r="D36" s="53"/>
      <c r="E36" s="53">
        <f>33475</f>
        <v>33475</v>
      </c>
      <c r="F36" s="27"/>
      <c r="G36" s="53"/>
      <c r="H36" s="53"/>
      <c r="I36" s="53"/>
      <c r="J36" s="53"/>
      <c r="K36" s="53"/>
      <c r="L36" s="53"/>
      <c r="M36" s="53"/>
      <c r="N36" s="53">
        <f>621</f>
        <v>621</v>
      </c>
      <c r="O36" s="53"/>
      <c r="P36" s="53"/>
      <c r="Q36" s="53"/>
      <c r="R36" s="53">
        <f>42050+58652+4800</f>
        <v>105502</v>
      </c>
      <c r="S36" s="53"/>
      <c r="T36" s="27"/>
      <c r="U36" s="10"/>
      <c r="V36" s="27"/>
      <c r="W36" s="27"/>
      <c r="X36" s="27"/>
    </row>
    <row r="37" ht="14.25" customHeight="1">
      <c r="A37" s="51">
        <v>45855.0</v>
      </c>
      <c r="B37" s="12"/>
      <c r="C37" s="53"/>
      <c r="D37" s="53">
        <f>100+700+999.5+500</f>
        <v>2299.5</v>
      </c>
      <c r="E37" s="53">
        <f>6140.87</f>
        <v>6140.87</v>
      </c>
      <c r="F37" s="27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27">
        <f>15000</f>
        <v>15000</v>
      </c>
      <c r="U37" s="33" t="s">
        <v>193</v>
      </c>
      <c r="V37" s="27"/>
      <c r="W37" s="27"/>
      <c r="X37" s="27"/>
    </row>
    <row r="38" ht="14.25" customHeight="1">
      <c r="A38" s="51">
        <v>45856.0</v>
      </c>
      <c r="B38" s="52"/>
      <c r="C38" s="53"/>
      <c r="D38" s="53"/>
      <c r="E38" s="53">
        <f>1300</f>
        <v>1300</v>
      </c>
      <c r="F38" s="27"/>
      <c r="G38" s="53"/>
      <c r="H38" s="15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27"/>
      <c r="U38" s="21"/>
      <c r="V38" s="27"/>
      <c r="W38" s="27"/>
      <c r="X38" s="27"/>
    </row>
    <row r="39" ht="14.25" customHeight="1">
      <c r="A39" s="51">
        <v>45856.0</v>
      </c>
      <c r="B39" s="52"/>
      <c r="C39" s="53"/>
      <c r="D39" s="53"/>
      <c r="E39" s="53">
        <f>500+499.5+400+0.5+0.5+0.5+500+200+61.54+50.88+678.38</f>
        <v>2891.8</v>
      </c>
      <c r="F39" s="27"/>
      <c r="G39" s="53"/>
      <c r="H39" s="53"/>
      <c r="I39" s="53"/>
      <c r="J39" s="53">
        <f>375000</f>
        <v>375000</v>
      </c>
      <c r="K39" s="53"/>
      <c r="L39" s="53"/>
      <c r="M39" s="53"/>
      <c r="N39" s="53"/>
      <c r="O39" s="53"/>
      <c r="P39" s="53"/>
      <c r="Q39" s="53"/>
      <c r="R39" s="53"/>
      <c r="S39" s="53"/>
      <c r="T39" s="27">
        <f>6400</f>
        <v>6400</v>
      </c>
      <c r="U39" s="33" t="s">
        <v>194</v>
      </c>
      <c r="V39" s="27"/>
      <c r="W39" s="27"/>
      <c r="X39" s="27"/>
    </row>
    <row r="40" ht="14.25" customHeight="1">
      <c r="A40" s="51">
        <v>45857.0</v>
      </c>
      <c r="B40" s="52"/>
      <c r="C40" s="53"/>
      <c r="D40" s="53"/>
      <c r="E40" s="53">
        <f>1924.36</f>
        <v>1924.36</v>
      </c>
      <c r="F40" s="27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7"/>
      <c r="U40" s="10"/>
      <c r="V40" s="27"/>
      <c r="W40" s="27"/>
      <c r="X40" s="27"/>
    </row>
    <row r="41" ht="14.25" customHeight="1">
      <c r="A41" s="51">
        <v>45857.0</v>
      </c>
      <c r="B41" s="52"/>
      <c r="C41" s="53"/>
      <c r="D41" s="53"/>
      <c r="E41" s="53">
        <f>100+100+500+500+299.5+300</f>
        <v>1799.5</v>
      </c>
      <c r="F41" s="27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/>
      <c r="U41" s="10"/>
      <c r="V41" s="27"/>
      <c r="W41" s="27"/>
      <c r="X41" s="27"/>
    </row>
    <row r="42" ht="14.25" customHeight="1">
      <c r="A42" s="51">
        <v>45858.0</v>
      </c>
      <c r="B42" s="52"/>
      <c r="C42" s="53"/>
      <c r="D42" s="53"/>
      <c r="E42" s="53">
        <f>50+1495</f>
        <v>1545</v>
      </c>
      <c r="F42" s="27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27"/>
      <c r="U42" s="21"/>
      <c r="V42" s="27"/>
      <c r="W42" s="27"/>
      <c r="X42" s="27"/>
    </row>
    <row r="43" ht="14.25" customHeight="1">
      <c r="A43" s="51">
        <v>45858.0</v>
      </c>
      <c r="B43" s="52"/>
      <c r="C43" s="53"/>
      <c r="D43" s="53"/>
      <c r="E43" s="53">
        <f>299.5+4.5+510.8+200</f>
        <v>1014.8</v>
      </c>
      <c r="F43" s="27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27"/>
      <c r="U43" s="10"/>
      <c r="V43" s="27"/>
      <c r="W43" s="27"/>
      <c r="X43" s="27"/>
    </row>
    <row r="44" ht="14.25" customHeight="1">
      <c r="A44" s="51">
        <v>45859.0</v>
      </c>
      <c r="B44" s="54" t="s">
        <v>48</v>
      </c>
      <c r="C44" s="55">
        <v>39587.01</v>
      </c>
      <c r="D44" s="53"/>
      <c r="E44" s="53">
        <f>3228.73</f>
        <v>3228.73</v>
      </c>
      <c r="F44" s="27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27"/>
      <c r="U44" s="28"/>
      <c r="V44" s="27"/>
      <c r="W44" s="27"/>
      <c r="X44" s="27"/>
    </row>
    <row r="45" ht="14.25" customHeight="1">
      <c r="A45" s="51">
        <v>45859.0</v>
      </c>
      <c r="B45" s="52"/>
      <c r="C45" s="53"/>
      <c r="D45" s="53"/>
      <c r="E45" s="55">
        <v>500.0</v>
      </c>
      <c r="F45" s="27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27"/>
      <c r="U45" s="10"/>
      <c r="V45" s="27"/>
      <c r="W45" s="27"/>
      <c r="X45" s="27"/>
    </row>
    <row r="46" ht="14.25" customHeight="1">
      <c r="A46" s="51">
        <v>45860.0</v>
      </c>
      <c r="B46" s="52"/>
      <c r="C46" s="53"/>
      <c r="D46" s="53"/>
      <c r="E46" s="53">
        <f>1445.76</f>
        <v>1445.76</v>
      </c>
      <c r="F46" s="27"/>
      <c r="G46" s="53"/>
      <c r="H46" s="53"/>
      <c r="I46" s="53"/>
      <c r="J46" s="53"/>
      <c r="K46" s="53"/>
      <c r="L46" s="53"/>
      <c r="M46" s="53"/>
      <c r="N46" s="53">
        <f>756+4438</f>
        <v>5194</v>
      </c>
      <c r="O46" s="53"/>
      <c r="P46" s="53"/>
      <c r="Q46" s="53"/>
      <c r="R46" s="55">
        <v>520.0</v>
      </c>
      <c r="S46" s="53"/>
      <c r="T46" s="27"/>
      <c r="U46" s="21"/>
      <c r="V46" s="27"/>
      <c r="W46" s="27"/>
      <c r="X46" s="27"/>
    </row>
    <row r="47" ht="14.25" customHeight="1">
      <c r="A47" s="51">
        <v>45860.0</v>
      </c>
      <c r="B47" s="12"/>
      <c r="C47" s="53"/>
      <c r="D47" s="53"/>
      <c r="E47" s="53">
        <f>200+100</f>
        <v>300</v>
      </c>
      <c r="F47" s="27"/>
      <c r="G47" s="53"/>
      <c r="H47" s="15"/>
      <c r="I47" s="53">
        <f>64200</f>
        <v>64200</v>
      </c>
      <c r="J47" s="53"/>
      <c r="K47" s="53"/>
      <c r="L47" s="53"/>
      <c r="M47" s="53"/>
      <c r="N47" s="53"/>
      <c r="O47" s="53"/>
      <c r="P47" s="53"/>
      <c r="Q47" s="53">
        <f>73840+195114.74</f>
        <v>268954.74</v>
      </c>
      <c r="R47" s="53"/>
      <c r="S47" s="53"/>
      <c r="T47" s="27"/>
      <c r="U47" s="10"/>
      <c r="V47" s="27"/>
      <c r="W47" s="27"/>
      <c r="X47" s="27"/>
    </row>
    <row r="48" ht="14.25" customHeight="1">
      <c r="A48" s="51">
        <v>45861.0</v>
      </c>
      <c r="B48" s="80" t="s">
        <v>195</v>
      </c>
      <c r="C48" s="55">
        <v>15000.0</v>
      </c>
      <c r="D48" s="53"/>
      <c r="E48" s="53">
        <f>274+1189.04</f>
        <v>1463.04</v>
      </c>
      <c r="F48" s="27"/>
      <c r="G48" s="53"/>
      <c r="H48" s="53"/>
      <c r="I48" s="53"/>
      <c r="J48" s="55"/>
      <c r="K48" s="53"/>
      <c r="L48" s="53"/>
      <c r="M48" s="53"/>
      <c r="N48" s="53"/>
      <c r="O48" s="53"/>
      <c r="P48" s="53"/>
      <c r="Q48" s="53"/>
      <c r="R48" s="53"/>
      <c r="S48" s="53"/>
      <c r="T48" s="27"/>
      <c r="U48" s="14"/>
      <c r="V48" s="27"/>
      <c r="W48" s="27"/>
      <c r="X48" s="27"/>
    </row>
    <row r="49" ht="14.25" customHeight="1">
      <c r="A49" s="51">
        <v>45861.0</v>
      </c>
      <c r="B49" s="80" t="s">
        <v>195</v>
      </c>
      <c r="C49" s="55">
        <v>60000.0</v>
      </c>
      <c r="D49" s="53"/>
      <c r="E49" s="55">
        <v>52280.54</v>
      </c>
      <c r="F49" s="27"/>
      <c r="G49" s="53"/>
      <c r="H49" s="55">
        <v>38900.0</v>
      </c>
      <c r="I49" s="53"/>
      <c r="J49" s="53"/>
      <c r="K49" s="53"/>
      <c r="L49" s="53"/>
      <c r="M49" s="53">
        <f>62928</f>
        <v>62928</v>
      </c>
      <c r="N49" s="53"/>
      <c r="O49" s="53"/>
      <c r="P49" s="53"/>
      <c r="Q49" s="53"/>
      <c r="R49" s="53"/>
      <c r="S49" s="53"/>
      <c r="T49" s="27"/>
      <c r="U49" s="14"/>
      <c r="V49" s="27"/>
      <c r="W49" s="27"/>
      <c r="X49" s="27"/>
    </row>
    <row r="50" ht="14.25" customHeight="1">
      <c r="A50" s="51">
        <v>45862.0</v>
      </c>
      <c r="B50" s="80" t="s">
        <v>196</v>
      </c>
      <c r="C50" s="55">
        <v>4176.51</v>
      </c>
      <c r="D50" s="53"/>
      <c r="E50" s="53">
        <f>1641.48</f>
        <v>1641.48</v>
      </c>
      <c r="F50" s="27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V50" s="27"/>
      <c r="W50" s="27"/>
      <c r="X50" s="27"/>
    </row>
    <row r="51" ht="14.25" customHeight="1">
      <c r="A51" s="51">
        <v>45862.0</v>
      </c>
      <c r="B51" s="56"/>
      <c r="C51" s="53"/>
      <c r="D51" s="53"/>
      <c r="E51" s="53">
        <f>3421</f>
        <v>3421</v>
      </c>
      <c r="F51" s="27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V51" s="27"/>
      <c r="W51" s="27"/>
      <c r="X51" s="27"/>
    </row>
    <row r="52" ht="14.25" customHeight="1">
      <c r="A52" s="51">
        <v>45863.0</v>
      </c>
      <c r="B52" s="56"/>
      <c r="C52" s="53"/>
      <c r="D52" s="53"/>
      <c r="E52" s="53">
        <f>2486.46</f>
        <v>2486.46</v>
      </c>
      <c r="F52" s="27"/>
      <c r="G52" s="53"/>
      <c r="H52" s="55">
        <v>64000.0</v>
      </c>
      <c r="I52" s="53"/>
      <c r="J52" s="53"/>
      <c r="K52" s="53"/>
      <c r="L52" s="53"/>
      <c r="M52" s="53"/>
      <c r="N52" s="53">
        <f>493+1500+4500</f>
        <v>6493</v>
      </c>
      <c r="O52" s="53"/>
      <c r="P52" s="53"/>
      <c r="Q52" s="53"/>
      <c r="R52" s="53">
        <f>116124.46+260</f>
        <v>116384.46</v>
      </c>
      <c r="S52" s="53"/>
      <c r="T52" s="27"/>
      <c r="U52" s="10"/>
      <c r="V52" s="27"/>
      <c r="W52" s="27"/>
      <c r="X52" s="27"/>
    </row>
    <row r="53" ht="14.25" customHeight="1">
      <c r="A53" s="51">
        <v>45863.0</v>
      </c>
      <c r="B53" s="52"/>
      <c r="C53" s="53"/>
      <c r="D53" s="53"/>
      <c r="E53" s="55">
        <v>4210.0</v>
      </c>
      <c r="F53" s="27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27"/>
      <c r="U53" s="10"/>
      <c r="V53" s="27"/>
      <c r="W53" s="27"/>
      <c r="X53" s="27"/>
    </row>
    <row r="54" ht="14.25" customHeight="1">
      <c r="A54" s="51">
        <v>45864.0</v>
      </c>
      <c r="B54" s="52"/>
      <c r="C54" s="53"/>
      <c r="D54" s="53"/>
      <c r="E54" s="53">
        <f>1425.79</f>
        <v>1425.79</v>
      </c>
      <c r="F54" s="27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27"/>
      <c r="U54" s="21"/>
      <c r="V54" s="27"/>
      <c r="W54" s="27"/>
      <c r="X54" s="27"/>
    </row>
    <row r="55" ht="14.25" customHeight="1">
      <c r="A55" s="51">
        <v>45864.0</v>
      </c>
      <c r="B55" s="52"/>
      <c r="C55" s="53"/>
      <c r="D55" s="53"/>
      <c r="E55" s="53">
        <f>199.5</f>
        <v>199.5</v>
      </c>
      <c r="F55" s="27"/>
      <c r="G55" s="53"/>
      <c r="H55" s="55">
        <v>411600.0</v>
      </c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27"/>
      <c r="U55" s="21"/>
      <c r="V55" s="27"/>
      <c r="W55" s="27"/>
      <c r="X55" s="27"/>
    </row>
    <row r="56" ht="14.25" customHeight="1">
      <c r="A56" s="51">
        <v>45865.0</v>
      </c>
      <c r="B56" s="52"/>
      <c r="C56" s="53"/>
      <c r="D56" s="53"/>
      <c r="E56" s="53">
        <f>758.31</f>
        <v>758.31</v>
      </c>
      <c r="F56" s="27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27"/>
      <c r="U56" s="21"/>
      <c r="V56" s="27"/>
      <c r="W56" s="27"/>
      <c r="X56" s="27"/>
    </row>
    <row r="57" ht="14.25" customHeight="1">
      <c r="A57" s="51">
        <v>45865.0</v>
      </c>
      <c r="B57" s="15"/>
      <c r="C57" s="53"/>
      <c r="D57" s="53"/>
      <c r="E57" s="53">
        <f>499.5</f>
        <v>499.5</v>
      </c>
      <c r="F57" s="27"/>
      <c r="G57" s="53"/>
      <c r="H57" s="53"/>
      <c r="I57" s="53"/>
      <c r="J57" s="53"/>
      <c r="K57" s="53"/>
      <c r="L57" s="55">
        <v>18850.0</v>
      </c>
      <c r="M57" s="53"/>
      <c r="N57" s="53"/>
      <c r="O57" s="53"/>
      <c r="P57" s="53"/>
      <c r="Q57" s="53"/>
      <c r="R57" s="53"/>
      <c r="S57" s="53"/>
      <c r="T57" s="27"/>
      <c r="U57" s="21"/>
      <c r="V57" s="27"/>
      <c r="W57" s="27"/>
      <c r="X57" s="27"/>
    </row>
    <row r="58" ht="14.25" customHeight="1">
      <c r="A58" s="51">
        <v>45866.0</v>
      </c>
      <c r="B58" s="52"/>
      <c r="C58" s="53"/>
      <c r="D58" s="53"/>
      <c r="E58" s="53">
        <f>100+0.5+0.5+200</f>
        <v>301</v>
      </c>
      <c r="F58" s="27"/>
      <c r="G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27"/>
      <c r="U58" s="10"/>
      <c r="V58" s="27"/>
      <c r="W58" s="27"/>
      <c r="X58" s="27"/>
    </row>
    <row r="59" ht="14.25" customHeight="1">
      <c r="A59" s="51">
        <v>45866.0</v>
      </c>
      <c r="B59" s="52"/>
      <c r="C59" s="53"/>
      <c r="D59" s="53"/>
      <c r="E59" s="53">
        <f>758.02+50</f>
        <v>808.02</v>
      </c>
      <c r="F59" s="27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27"/>
      <c r="V59" s="27"/>
      <c r="W59" s="27"/>
      <c r="X59" s="27"/>
    </row>
    <row r="60" ht="14.25" customHeight="1">
      <c r="A60" s="51">
        <v>45867.0</v>
      </c>
      <c r="B60" s="52"/>
      <c r="C60" s="53"/>
      <c r="D60" s="53"/>
      <c r="E60" s="53">
        <f>50.58</f>
        <v>50.58</v>
      </c>
      <c r="F60" s="27"/>
      <c r="G60" s="53"/>
      <c r="H60" s="53"/>
      <c r="I60" s="53">
        <f>3000</f>
        <v>3000</v>
      </c>
      <c r="J60" s="53"/>
      <c r="K60" s="53">
        <f>30600</f>
        <v>30600</v>
      </c>
      <c r="L60" s="53"/>
      <c r="M60" s="53">
        <f>401676.56</f>
        <v>401676.56</v>
      </c>
      <c r="N60" s="53">
        <f>756</f>
        <v>756</v>
      </c>
      <c r="O60" s="53"/>
      <c r="P60" s="53"/>
      <c r="Q60" s="55">
        <v>14400.0</v>
      </c>
      <c r="R60" s="53"/>
      <c r="S60" s="53"/>
      <c r="T60" s="27"/>
      <c r="U60" s="10"/>
      <c r="V60" s="27"/>
      <c r="W60" s="27"/>
      <c r="X60" s="27"/>
    </row>
    <row r="61" ht="14.25" customHeight="1">
      <c r="A61" s="51">
        <v>45867.0</v>
      </c>
      <c r="B61" s="52"/>
      <c r="C61" s="53"/>
      <c r="D61" s="53"/>
      <c r="E61" s="53">
        <f>1000</f>
        <v>1000</v>
      </c>
      <c r="F61" s="27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27"/>
      <c r="V61" s="27"/>
      <c r="W61" s="27"/>
      <c r="X61" s="27"/>
    </row>
    <row r="62" ht="14.25" customHeight="1">
      <c r="A62" s="51">
        <v>45868.0</v>
      </c>
      <c r="B62" s="52"/>
      <c r="C62" s="53"/>
      <c r="D62" s="53"/>
      <c r="E62" s="53">
        <f>1954.43</f>
        <v>1954.43</v>
      </c>
      <c r="F62" s="27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>
        <f>41500+24500+21549.04+24500+31200+31200</f>
        <v>174449.04</v>
      </c>
      <c r="S62" s="53"/>
      <c r="T62" s="27"/>
      <c r="V62" s="27"/>
      <c r="W62" s="27"/>
      <c r="X62" s="27"/>
    </row>
    <row r="63" ht="14.25" customHeight="1">
      <c r="A63" s="51">
        <v>45868.0</v>
      </c>
      <c r="B63" s="52"/>
      <c r="C63" s="53"/>
      <c r="D63" s="53"/>
      <c r="E63" s="53">
        <f>500</f>
        <v>500</v>
      </c>
      <c r="F63" s="27"/>
      <c r="G63" s="53"/>
      <c r="H63" s="53"/>
      <c r="I63" s="53"/>
      <c r="J63" s="53"/>
      <c r="K63" s="53"/>
      <c r="L63" s="53"/>
      <c r="M63" s="53"/>
      <c r="N63" s="53">
        <f>5250+2481.81+4600</f>
        <v>12331.81</v>
      </c>
      <c r="O63" s="53"/>
      <c r="P63" s="53"/>
      <c r="Q63" s="53"/>
      <c r="R63" s="53"/>
      <c r="S63" s="53"/>
      <c r="T63" s="27"/>
      <c r="V63" s="27"/>
      <c r="W63" s="27"/>
      <c r="X63" s="27"/>
    </row>
    <row r="64" ht="14.25" customHeight="1">
      <c r="A64" s="51">
        <v>45869.0</v>
      </c>
      <c r="B64" s="54" t="s">
        <v>64</v>
      </c>
      <c r="C64" s="55">
        <v>15000.0</v>
      </c>
      <c r="D64" s="53"/>
      <c r="E64" s="53">
        <f>100</f>
        <v>100</v>
      </c>
      <c r="F64" s="27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>
        <f>11868.73+770.7+3391.06+2884.51</f>
        <v>18915</v>
      </c>
      <c r="S64" s="53"/>
      <c r="T64" s="27"/>
      <c r="V64" s="27"/>
      <c r="W64" s="27"/>
      <c r="X64" s="27"/>
    </row>
    <row r="65" ht="14.25" customHeight="1">
      <c r="A65" s="71">
        <v>45869.0</v>
      </c>
      <c r="B65" s="94"/>
      <c r="C65" s="73"/>
      <c r="D65" s="73"/>
      <c r="E65" s="73">
        <f>90216.54</f>
        <v>90216.54</v>
      </c>
      <c r="F65" s="27"/>
      <c r="G65" s="72">
        <v>20.38</v>
      </c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27"/>
      <c r="V65" s="27"/>
      <c r="W65" s="27"/>
      <c r="X65" s="27"/>
    </row>
    <row r="66" ht="14.25" customHeight="1">
      <c r="A66" s="95" t="s">
        <v>47</v>
      </c>
      <c r="B66" s="43"/>
      <c r="C66" s="43">
        <f>SUM(C4:C65)</f>
        <v>5744564.56</v>
      </c>
      <c r="D66" s="43">
        <f t="shared" ref="D66:T66" si="1">SUM(D3:D65)</f>
        <v>13577.5</v>
      </c>
      <c r="E66" s="43">
        <f t="shared" si="1"/>
        <v>457021.88</v>
      </c>
      <c r="F66" s="43">
        <f t="shared" si="1"/>
        <v>0</v>
      </c>
      <c r="G66" s="43">
        <f t="shared" si="1"/>
        <v>20.38</v>
      </c>
      <c r="H66" s="43">
        <f t="shared" si="1"/>
        <v>514500</v>
      </c>
      <c r="I66" s="43">
        <f t="shared" si="1"/>
        <v>69700</v>
      </c>
      <c r="J66" s="96">
        <f t="shared" si="1"/>
        <v>1394076.5</v>
      </c>
      <c r="K66" s="96">
        <f t="shared" si="1"/>
        <v>300530</v>
      </c>
      <c r="L66" s="43">
        <f t="shared" si="1"/>
        <v>106775</v>
      </c>
      <c r="M66" s="96">
        <f t="shared" si="1"/>
        <v>464604.56</v>
      </c>
      <c r="N66" s="43">
        <f t="shared" si="1"/>
        <v>122437.19</v>
      </c>
      <c r="O66" s="43">
        <f t="shared" si="1"/>
        <v>309515</v>
      </c>
      <c r="P66" s="43">
        <f t="shared" si="1"/>
        <v>27577</v>
      </c>
      <c r="Q66" s="43">
        <f t="shared" si="1"/>
        <v>333354.74</v>
      </c>
      <c r="R66" s="96">
        <f t="shared" si="1"/>
        <v>434573.38</v>
      </c>
      <c r="S66" s="43">
        <f t="shared" si="1"/>
        <v>124500</v>
      </c>
      <c r="T66" s="75">
        <f t="shared" si="1"/>
        <v>1417481.43</v>
      </c>
      <c r="U66" s="45"/>
      <c r="V66" s="45"/>
      <c r="W66" s="45"/>
      <c r="X66" s="45"/>
    </row>
    <row r="67" ht="14.25" customHeight="1">
      <c r="A67" s="89"/>
    </row>
    <row r="68" ht="14.25" customHeight="1">
      <c r="A68" s="89"/>
      <c r="B68" s="14"/>
      <c r="C68" s="14"/>
    </row>
    <row r="69" ht="14.25" customHeight="1">
      <c r="A69" s="89"/>
      <c r="B69" s="14"/>
      <c r="C69" s="14"/>
    </row>
    <row r="70" ht="14.25" customHeight="1">
      <c r="A70" s="89"/>
      <c r="B70" s="14"/>
    </row>
    <row r="71" ht="14.25" customHeight="1">
      <c r="A71" s="89"/>
      <c r="B71" s="14"/>
    </row>
    <row r="72" ht="14.25" customHeight="1">
      <c r="A72" s="89"/>
    </row>
    <row r="73" ht="14.25" customHeight="1">
      <c r="A73" s="89"/>
    </row>
    <row r="74" ht="14.25" customHeight="1">
      <c r="A74" s="89"/>
    </row>
    <row r="75" ht="14.25" customHeight="1">
      <c r="A75" s="89"/>
    </row>
    <row r="76" ht="14.25" customHeight="1">
      <c r="A76" s="89"/>
    </row>
    <row r="77" ht="14.25" customHeight="1">
      <c r="A77" s="89"/>
      <c r="E77" s="76">
        <f>C66+D66+E66</f>
        <v>6215163.94</v>
      </c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4.25" customHeight="1">
      <c r="A265" s="89"/>
    </row>
    <row r="266" ht="14.25" customHeight="1">
      <c r="A266" s="89"/>
    </row>
    <row r="267" ht="14.25" customHeight="1">
      <c r="A267" s="89"/>
    </row>
    <row r="268" ht="14.25" customHeight="1">
      <c r="A268" s="89"/>
    </row>
    <row r="269" ht="14.25" customHeight="1">
      <c r="A269" s="89"/>
    </row>
    <row r="270" ht="14.25" customHeight="1">
      <c r="A270" s="89"/>
    </row>
    <row r="271" ht="14.2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  <row r="971" ht="15.75" customHeight="1">
      <c r="A971" s="89"/>
    </row>
    <row r="972" ht="15.75" customHeight="1">
      <c r="A972" s="89"/>
    </row>
    <row r="973" ht="15.75" customHeight="1">
      <c r="A973" s="89"/>
    </row>
    <row r="974" ht="15.75" customHeight="1">
      <c r="A974" s="89"/>
    </row>
    <row r="975" ht="15.75" customHeight="1">
      <c r="A975" s="89"/>
    </row>
    <row r="976" ht="15.75" customHeight="1">
      <c r="A976" s="89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5.14"/>
    <col customWidth="1" min="5" max="5" width="17.0"/>
    <col customWidth="1" hidden="1" min="6" max="6" width="12.43"/>
    <col customWidth="1" min="7" max="7" width="17.14"/>
    <col customWidth="1" min="8" max="8" width="14.14"/>
    <col customWidth="1" min="9" max="9" width="12.14"/>
    <col customWidth="1" min="10" max="10" width="13.86"/>
    <col customWidth="1" min="11" max="11" width="14.57"/>
    <col customWidth="1" min="12" max="12" width="12.0"/>
    <col customWidth="1" min="13" max="13" width="14.0"/>
    <col customWidth="1" min="14" max="14" width="11.29"/>
    <col customWidth="1" min="15" max="15" width="14.29"/>
    <col customWidth="1" min="16" max="16" width="10.57"/>
    <col customWidth="1" min="17" max="17" width="11.0"/>
    <col customWidth="1" min="18" max="18" width="13.43"/>
    <col customWidth="1" min="19" max="20" width="16.14"/>
    <col customWidth="1" min="21" max="21" width="11.57"/>
    <col customWidth="1" min="22" max="22" width="60.29"/>
    <col customWidth="1" min="23" max="25" width="8.71"/>
  </cols>
  <sheetData>
    <row r="1" ht="60.7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3"/>
      <c r="U1" s="6" t="s">
        <v>6</v>
      </c>
    </row>
    <row r="2" ht="54.0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77" t="s">
        <v>197</v>
      </c>
      <c r="K2" s="47" t="s">
        <v>13</v>
      </c>
      <c r="L2" s="77" t="s">
        <v>143</v>
      </c>
      <c r="M2" s="47" t="s">
        <v>15</v>
      </c>
      <c r="N2" s="47" t="s">
        <v>16</v>
      </c>
      <c r="O2" s="47" t="s">
        <v>17</v>
      </c>
      <c r="P2" s="77" t="s">
        <v>198</v>
      </c>
      <c r="Q2" s="77" t="s">
        <v>142</v>
      </c>
      <c r="R2" s="77" t="s">
        <v>144</v>
      </c>
      <c r="S2" s="77" t="s">
        <v>175</v>
      </c>
      <c r="T2" s="98" t="s">
        <v>199</v>
      </c>
      <c r="U2" s="6"/>
      <c r="V2" s="8"/>
    </row>
    <row r="3" ht="14.25" customHeight="1">
      <c r="A3" s="90"/>
      <c r="B3" s="49"/>
      <c r="C3" s="50"/>
      <c r="D3" s="50"/>
      <c r="E3" s="50"/>
      <c r="F3" s="27"/>
      <c r="G3" s="50"/>
      <c r="H3" s="78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27">
        <f>5+5+5+5+5+5+5+79.89+5+5+5+5+5+80+5+5+5+45.01+5+87.51+5+5+5+5+5+5+5+5+5+5+5+5+5+5+5+5+5+5+5+5+5+5+5+15+15+15+15+5+5+5+5+5+5+5+5+5+5+5+5+5+5+5+5+5+5+5+5+5+5+5+5+5+5+5+5+5+5+5+5+5+5+5+5+5+3.81+5+5+5+87.51+5+5+5+45.01+5+5+5+5+5+5+5+5+5+5+5+5+5</f>
        <v>963.74</v>
      </c>
      <c r="V3" s="17" t="s">
        <v>20</v>
      </c>
      <c r="W3" s="27"/>
      <c r="X3" s="27"/>
      <c r="Y3" s="27"/>
    </row>
    <row r="4" ht="14.25" customHeight="1">
      <c r="A4" s="51">
        <v>45870.0</v>
      </c>
      <c r="B4" s="54" t="s">
        <v>52</v>
      </c>
      <c r="C4" s="84">
        <v>1964.0</v>
      </c>
      <c r="D4" s="53"/>
      <c r="E4" s="55">
        <f>59+400</f>
        <v>459</v>
      </c>
      <c r="F4" s="27"/>
      <c r="G4" s="53"/>
      <c r="H4" s="61"/>
      <c r="I4" s="53"/>
      <c r="J4" s="53"/>
      <c r="K4" s="53"/>
      <c r="L4" s="53"/>
      <c r="M4" s="53"/>
      <c r="N4" s="53"/>
      <c r="O4" s="53"/>
      <c r="P4" s="53"/>
      <c r="Q4" s="53"/>
      <c r="R4" s="53"/>
      <c r="S4" s="99"/>
      <c r="T4" s="53"/>
      <c r="U4" s="27"/>
      <c r="V4" s="21"/>
      <c r="W4" s="27"/>
      <c r="X4" s="27"/>
      <c r="Y4" s="27"/>
    </row>
    <row r="5" ht="14.25" customHeight="1">
      <c r="A5" s="51">
        <v>45870.0</v>
      </c>
      <c r="B5" s="52"/>
      <c r="C5" s="91"/>
      <c r="D5" s="53"/>
      <c r="E5" s="53">
        <f>3701.01+1247.64</f>
        <v>4948.65</v>
      </c>
      <c r="F5" s="27"/>
      <c r="G5" s="53"/>
      <c r="H5" s="61"/>
      <c r="I5" s="53"/>
      <c r="J5" s="53"/>
      <c r="K5" s="53"/>
      <c r="L5" s="53"/>
      <c r="M5" s="53"/>
      <c r="N5" s="53"/>
      <c r="O5" s="53"/>
      <c r="P5" s="53"/>
      <c r="Q5" s="53"/>
      <c r="R5" s="53"/>
      <c r="S5" s="99"/>
      <c r="T5" s="53"/>
      <c r="U5" s="27">
        <f>1598</f>
        <v>1598</v>
      </c>
      <c r="V5" s="22" t="s">
        <v>200</v>
      </c>
      <c r="W5" s="27"/>
      <c r="X5" s="27"/>
      <c r="Y5" s="27"/>
    </row>
    <row r="6" ht="14.25" customHeight="1">
      <c r="A6" s="51">
        <v>45871.0</v>
      </c>
      <c r="B6" s="52"/>
      <c r="C6" s="91"/>
      <c r="D6" s="53"/>
      <c r="E6" s="53">
        <f>726.67</f>
        <v>726.67</v>
      </c>
      <c r="F6" s="27"/>
      <c r="G6" s="53"/>
      <c r="H6" s="61"/>
      <c r="I6" s="53"/>
      <c r="J6" s="53"/>
      <c r="K6" s="53"/>
      <c r="L6" s="53"/>
      <c r="M6" s="53"/>
      <c r="N6" s="53">
        <f>201.96</f>
        <v>201.96</v>
      </c>
      <c r="O6" s="53"/>
      <c r="P6" s="53"/>
      <c r="Q6" s="53"/>
      <c r="R6" s="53"/>
      <c r="S6" s="99"/>
      <c r="T6" s="53"/>
      <c r="U6" s="27">
        <f>2000</f>
        <v>2000</v>
      </c>
      <c r="V6" s="22" t="s">
        <v>201</v>
      </c>
      <c r="W6" s="27"/>
      <c r="X6" s="27"/>
      <c r="Y6" s="27"/>
    </row>
    <row r="7" ht="14.25" customHeight="1">
      <c r="A7" s="51">
        <v>45871.0</v>
      </c>
      <c r="B7" s="52"/>
      <c r="C7" s="91"/>
      <c r="D7" s="53"/>
      <c r="E7" s="53">
        <f>200</f>
        <v>200</v>
      </c>
      <c r="F7" s="27"/>
      <c r="G7" s="53"/>
      <c r="H7" s="61"/>
      <c r="I7" s="53"/>
      <c r="J7" s="53"/>
      <c r="K7" s="53"/>
      <c r="L7" s="53"/>
      <c r="M7" s="53"/>
      <c r="N7" s="53"/>
      <c r="O7" s="53"/>
      <c r="P7" s="53"/>
      <c r="Q7" s="53"/>
      <c r="R7" s="53"/>
      <c r="S7" s="99"/>
      <c r="T7" s="53"/>
      <c r="U7" s="27">
        <f>119.75</f>
        <v>119.75</v>
      </c>
      <c r="V7" s="17" t="s">
        <v>92</v>
      </c>
      <c r="W7" s="27"/>
      <c r="X7" s="27"/>
      <c r="Y7" s="27"/>
    </row>
    <row r="8" ht="14.25" customHeight="1">
      <c r="A8" s="51">
        <v>45872.0</v>
      </c>
      <c r="B8" s="56"/>
      <c r="C8" s="53"/>
      <c r="D8" s="53"/>
      <c r="E8" s="53">
        <f>210+90</f>
        <v>300</v>
      </c>
      <c r="F8" s="27"/>
      <c r="G8" s="53"/>
      <c r="H8" s="61"/>
      <c r="I8" s="53"/>
      <c r="J8" s="53"/>
      <c r="K8" s="53"/>
      <c r="L8" s="53"/>
      <c r="M8" s="53"/>
      <c r="N8" s="53"/>
      <c r="O8" s="53"/>
      <c r="P8" s="53"/>
      <c r="Q8" s="53"/>
      <c r="R8" s="53">
        <f>1330</f>
        <v>1330</v>
      </c>
      <c r="S8" s="99"/>
      <c r="T8" s="53"/>
      <c r="U8" s="27"/>
      <c r="V8" s="17"/>
      <c r="W8" s="27"/>
      <c r="X8" s="27"/>
      <c r="Y8" s="27"/>
    </row>
    <row r="9" ht="14.25" customHeight="1">
      <c r="A9" s="51">
        <v>45872.0</v>
      </c>
      <c r="B9" s="56"/>
      <c r="C9" s="53"/>
      <c r="D9" s="53"/>
      <c r="E9" s="53">
        <f>1402.41</f>
        <v>1402.41</v>
      </c>
      <c r="F9" s="27"/>
      <c r="G9" s="53"/>
      <c r="H9" s="61"/>
      <c r="I9" s="53"/>
      <c r="J9" s="53"/>
      <c r="K9" s="53"/>
      <c r="L9" s="53"/>
      <c r="M9" s="53"/>
      <c r="N9" s="53">
        <f>11520</f>
        <v>11520</v>
      </c>
      <c r="O9" s="53"/>
      <c r="P9" s="53"/>
      <c r="Q9" s="53"/>
      <c r="R9" s="53"/>
      <c r="S9" s="99"/>
      <c r="T9" s="53"/>
      <c r="U9" s="27">
        <f>4200</f>
        <v>4200</v>
      </c>
      <c r="V9" s="22" t="s">
        <v>191</v>
      </c>
      <c r="W9" s="27"/>
      <c r="X9" s="27"/>
      <c r="Y9" s="27"/>
    </row>
    <row r="10" ht="14.25" customHeight="1">
      <c r="A10" s="51">
        <v>45873.0</v>
      </c>
      <c r="B10" s="80" t="s">
        <v>52</v>
      </c>
      <c r="C10" s="55">
        <v>982.0</v>
      </c>
      <c r="D10" s="53"/>
      <c r="E10" s="55">
        <v>23433.57</v>
      </c>
      <c r="F10" s="27"/>
      <c r="G10" s="53"/>
      <c r="H10" s="61"/>
      <c r="I10" s="53"/>
      <c r="J10" s="53"/>
      <c r="K10" s="53"/>
      <c r="L10" s="53"/>
      <c r="M10" s="53"/>
      <c r="N10" s="53">
        <f>18478+22400</f>
        <v>40878</v>
      </c>
      <c r="O10" s="53"/>
      <c r="P10" s="53"/>
      <c r="Q10" s="53"/>
      <c r="R10" s="53">
        <f>5+6500+43680+5+41990+5+1600+5</f>
        <v>93790</v>
      </c>
      <c r="S10" s="99"/>
      <c r="T10" s="53"/>
      <c r="U10" s="27">
        <f>15977.92+17502.1+16000.6+5711.18+50003.8+9001.3+15003.45+17502.1+15003.45+5765.92+761.93+50003.8+17502.1+15003.45+17502.1+15003.45+9001.3</f>
        <v>292249.95</v>
      </c>
      <c r="V10" s="17" t="s">
        <v>28</v>
      </c>
      <c r="W10" s="27"/>
      <c r="X10" s="27"/>
      <c r="Y10" s="27"/>
    </row>
    <row r="11" ht="14.25" customHeight="1">
      <c r="A11" s="51">
        <v>45873.0</v>
      </c>
      <c r="B11" s="80" t="s">
        <v>52</v>
      </c>
      <c r="C11" s="55">
        <v>3142.4</v>
      </c>
      <c r="D11" s="53"/>
      <c r="E11" s="53">
        <f>100+6</f>
        <v>106</v>
      </c>
      <c r="F11" s="27"/>
      <c r="G11" s="53"/>
      <c r="H11" s="61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99"/>
      <c r="T11" s="53"/>
      <c r="U11" s="27"/>
      <c r="V11" s="17"/>
      <c r="W11" s="27"/>
      <c r="X11" s="27"/>
      <c r="Y11" s="27"/>
    </row>
    <row r="12" ht="14.25" customHeight="1">
      <c r="A12" s="51">
        <v>45874.0</v>
      </c>
      <c r="B12" s="56"/>
      <c r="C12" s="53"/>
      <c r="D12" s="53"/>
      <c r="E12" s="55">
        <v>551286.01</v>
      </c>
      <c r="F12" s="27"/>
      <c r="G12" s="53"/>
      <c r="H12" s="61"/>
      <c r="I12" s="53">
        <f>4500</f>
        <v>4500</v>
      </c>
      <c r="J12" s="53"/>
      <c r="K12" s="53"/>
      <c r="L12" s="53"/>
      <c r="M12" s="53"/>
      <c r="N12" s="53">
        <f>10507</f>
        <v>10507</v>
      </c>
      <c r="O12" s="53"/>
      <c r="P12" s="53"/>
      <c r="Q12" s="53"/>
      <c r="R12" s="53"/>
      <c r="S12" s="100">
        <v>21160.0</v>
      </c>
      <c r="T12" s="53"/>
      <c r="U12" s="27">
        <f>4565.12+3735.1+1037.53+6858.5+1558.75+5611.5+7904.11+34778.07+28454.78+24905.29+30439.8+6918.14+6858.5+5611.5+1558.75</f>
        <v>170795.44</v>
      </c>
      <c r="V12" s="17" t="s">
        <v>29</v>
      </c>
      <c r="W12" s="27"/>
      <c r="X12" s="27"/>
      <c r="Y12" s="27"/>
    </row>
    <row r="13" ht="14.25" customHeight="1">
      <c r="A13" s="51">
        <v>45874.0</v>
      </c>
      <c r="B13" s="56"/>
      <c r="C13" s="53"/>
      <c r="D13" s="53"/>
      <c r="E13" s="53">
        <f>12209.5+0.5</f>
        <v>12210</v>
      </c>
      <c r="F13" s="27"/>
      <c r="G13" s="53"/>
      <c r="H13" s="61"/>
      <c r="I13" s="53"/>
      <c r="J13" s="53"/>
      <c r="K13" s="53"/>
      <c r="L13" s="53"/>
      <c r="M13" s="101"/>
      <c r="N13" s="53"/>
      <c r="O13" s="53"/>
      <c r="P13" s="53"/>
      <c r="Q13" s="53"/>
      <c r="R13" s="53"/>
      <c r="S13" s="99"/>
      <c r="T13" s="53"/>
      <c r="U13" s="27">
        <f>805</f>
        <v>805</v>
      </c>
      <c r="V13" s="27" t="s">
        <v>69</v>
      </c>
      <c r="W13" s="27"/>
      <c r="X13" s="27"/>
      <c r="Y13" s="27"/>
    </row>
    <row r="14" ht="14.25" customHeight="1">
      <c r="A14" s="51">
        <v>45875.0</v>
      </c>
      <c r="B14" s="56"/>
      <c r="C14" s="53"/>
      <c r="D14" s="53"/>
      <c r="E14" s="53">
        <f>3501.97</f>
        <v>3501.97</v>
      </c>
      <c r="F14" s="27"/>
      <c r="G14" s="53"/>
      <c r="H14" s="61"/>
      <c r="I14" s="53"/>
      <c r="J14" s="53"/>
      <c r="K14" s="53"/>
      <c r="L14" s="53"/>
      <c r="M14" s="53"/>
      <c r="N14" s="53"/>
      <c r="O14" s="53"/>
      <c r="P14" s="53"/>
      <c r="Q14" s="53">
        <f>4000</f>
        <v>4000</v>
      </c>
      <c r="R14" s="53"/>
      <c r="S14" s="99">
        <f>8000</f>
        <v>8000</v>
      </c>
      <c r="T14" s="53"/>
      <c r="U14" s="26">
        <v>1900.0</v>
      </c>
      <c r="V14" s="22" t="s">
        <v>202</v>
      </c>
      <c r="W14" s="27"/>
      <c r="X14" s="27"/>
      <c r="Y14" s="27"/>
    </row>
    <row r="15" ht="14.25" customHeight="1">
      <c r="A15" s="51">
        <v>45875.0</v>
      </c>
      <c r="B15" s="56"/>
      <c r="C15" s="53"/>
      <c r="D15" s="53">
        <f>11000</f>
        <v>11000</v>
      </c>
      <c r="E15" s="53">
        <f>9.5</f>
        <v>9.5</v>
      </c>
      <c r="F15" s="27"/>
      <c r="G15" s="53"/>
      <c r="H15" s="61"/>
      <c r="I15" s="53"/>
      <c r="J15" s="53"/>
      <c r="K15" s="53"/>
      <c r="L15" s="53"/>
      <c r="M15" s="53"/>
      <c r="N15" s="53">
        <f>96350.1+96350.1+22523.4+6256.5</f>
        <v>221480.1</v>
      </c>
      <c r="O15" s="53"/>
      <c r="P15" s="53">
        <f>671022.1+689350.2+364962.5+315420</f>
        <v>2040754.8</v>
      </c>
      <c r="Q15" s="53"/>
      <c r="R15" s="53">
        <f>10000+5</f>
        <v>10005</v>
      </c>
      <c r="S15" s="99"/>
      <c r="T15" s="53"/>
      <c r="U15" s="27"/>
      <c r="V15" s="17"/>
      <c r="W15" s="27"/>
      <c r="X15" s="27"/>
      <c r="Y15" s="27"/>
    </row>
    <row r="16" ht="14.25" customHeight="1">
      <c r="A16" s="51">
        <v>45876.0</v>
      </c>
      <c r="B16" s="54" t="s">
        <v>203</v>
      </c>
      <c r="C16" s="31">
        <v>982.0</v>
      </c>
      <c r="D16" s="53"/>
      <c r="E16" s="53">
        <f>1051.51</f>
        <v>1051.51</v>
      </c>
      <c r="F16" s="27"/>
      <c r="G16" s="53"/>
      <c r="H16" s="61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99"/>
      <c r="T16" s="53">
        <f>2000+30000</f>
        <v>32000</v>
      </c>
      <c r="U16" s="27">
        <f>1530</f>
        <v>1530</v>
      </c>
      <c r="V16" s="21" t="s">
        <v>72</v>
      </c>
      <c r="W16" s="27"/>
      <c r="X16" s="27"/>
      <c r="Y16" s="27"/>
    </row>
    <row r="17" ht="14.25" customHeight="1">
      <c r="A17" s="51">
        <v>45876.0</v>
      </c>
      <c r="B17" s="52"/>
      <c r="C17" s="12"/>
      <c r="D17" s="53">
        <f>500+2000+1000+15000+3000</f>
        <v>21500</v>
      </c>
      <c r="E17" s="53">
        <f>199.5</f>
        <v>199.5</v>
      </c>
      <c r="F17" s="27"/>
      <c r="H17" s="61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99"/>
      <c r="T17" s="53"/>
      <c r="U17" s="27">
        <f>780.03</f>
        <v>780.03</v>
      </c>
      <c r="V17" s="17" t="s">
        <v>153</v>
      </c>
      <c r="W17" s="27"/>
      <c r="X17" s="27"/>
      <c r="Y17" s="27"/>
    </row>
    <row r="18" ht="14.25" customHeight="1">
      <c r="A18" s="51">
        <v>45877.0</v>
      </c>
      <c r="B18" s="56"/>
      <c r="C18" s="53"/>
      <c r="D18" s="53">
        <f>9.5</f>
        <v>9.5</v>
      </c>
      <c r="E18" s="53">
        <f>27811.82</f>
        <v>27811.82</v>
      </c>
      <c r="F18" s="27"/>
      <c r="H18" s="61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99"/>
      <c r="T18" s="53"/>
      <c r="U18" s="26">
        <v>45000.0</v>
      </c>
      <c r="V18" s="17" t="s">
        <v>73</v>
      </c>
      <c r="W18" s="27"/>
      <c r="X18" s="27"/>
      <c r="Y18" s="27"/>
    </row>
    <row r="19" ht="14.25" customHeight="1">
      <c r="A19" s="51">
        <v>45878.0</v>
      </c>
      <c r="B19" s="56"/>
      <c r="C19" s="53"/>
      <c r="D19" s="53"/>
      <c r="E19" s="53"/>
      <c r="F19" s="27"/>
      <c r="G19" s="53"/>
      <c r="H19" s="61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99"/>
      <c r="T19" s="53"/>
      <c r="U19" s="27">
        <f>6000+15200+16780+15200+19430+19430+19430+14150+9300+850+13300+84281.48+1200+5000+18820+65400+15200+19430+54800+19430+900+14150+19430+16780+44200+13056.58+65400</f>
        <v>606548.06</v>
      </c>
      <c r="V19" s="21" t="s">
        <v>25</v>
      </c>
      <c r="W19" s="27"/>
      <c r="X19" s="27"/>
      <c r="Y19" s="27"/>
    </row>
    <row r="20" ht="14.25" customHeight="1">
      <c r="A20" s="51">
        <v>45878.0</v>
      </c>
      <c r="B20" s="56"/>
      <c r="C20" s="53"/>
      <c r="D20" s="53">
        <f>99.5+200</f>
        <v>299.5</v>
      </c>
      <c r="E20" s="53">
        <f>1546.06</f>
        <v>1546.06</v>
      </c>
      <c r="F20" s="27"/>
      <c r="H20" s="61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99"/>
      <c r="T20" s="53"/>
      <c r="U20" s="27">
        <f>1999.98+2552.58</f>
        <v>4552.56</v>
      </c>
      <c r="V20" s="28" t="s">
        <v>204</v>
      </c>
      <c r="W20" s="27"/>
      <c r="X20" s="27"/>
      <c r="Y20" s="27"/>
    </row>
    <row r="21" ht="14.25" customHeight="1">
      <c r="A21" s="51">
        <v>45879.0</v>
      </c>
      <c r="B21" s="12"/>
      <c r="C21" s="53"/>
      <c r="D21" s="53"/>
      <c r="E21" s="53">
        <f>3000</f>
        <v>3000</v>
      </c>
      <c r="F21" s="27"/>
      <c r="G21" s="53"/>
      <c r="H21" s="61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99"/>
      <c r="T21" s="53"/>
      <c r="U21" s="27"/>
      <c r="V21" s="33"/>
      <c r="W21" s="27"/>
      <c r="X21" s="27"/>
      <c r="Y21" s="27"/>
    </row>
    <row r="22" ht="14.25" customHeight="1">
      <c r="A22" s="51">
        <v>45879.0</v>
      </c>
      <c r="B22" s="80" t="s">
        <v>192</v>
      </c>
      <c r="C22" s="55">
        <v>17000.0</v>
      </c>
      <c r="D22" s="53"/>
      <c r="E22" s="53">
        <f>10000</f>
        <v>10000</v>
      </c>
      <c r="F22" s="27"/>
      <c r="G22" s="53"/>
      <c r="H22" s="61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99"/>
      <c r="T22" s="53"/>
      <c r="U22" s="27"/>
      <c r="V22" s="22"/>
      <c r="W22" s="27"/>
      <c r="X22" s="27"/>
      <c r="Y22" s="27"/>
    </row>
    <row r="23" ht="14.25" customHeight="1">
      <c r="A23" s="51">
        <v>45880.0</v>
      </c>
      <c r="B23" s="31" t="s">
        <v>203</v>
      </c>
      <c r="C23" s="55">
        <v>491.0</v>
      </c>
      <c r="D23" s="53"/>
      <c r="E23" s="53">
        <f>4077.74</f>
        <v>4077.74</v>
      </c>
      <c r="F23" s="27"/>
      <c r="G23" s="53"/>
      <c r="H23" s="61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99"/>
      <c r="T23" s="53"/>
      <c r="U23" s="26">
        <f>12000</f>
        <v>12000</v>
      </c>
      <c r="V23" s="32" t="s">
        <v>205</v>
      </c>
      <c r="W23" s="27"/>
      <c r="X23" s="27"/>
      <c r="Y23" s="27"/>
    </row>
    <row r="24" ht="14.25" customHeight="1">
      <c r="A24" s="51">
        <v>45880.0</v>
      </c>
      <c r="B24" s="12"/>
      <c r="C24" s="53"/>
      <c r="D24" s="53"/>
      <c r="E24" s="53"/>
      <c r="F24" s="27"/>
      <c r="G24" s="53"/>
      <c r="H24" s="61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99"/>
      <c r="T24" s="53"/>
      <c r="U24" s="27"/>
      <c r="V24" s="17"/>
      <c r="W24" s="27"/>
      <c r="X24" s="27"/>
      <c r="Y24" s="27"/>
    </row>
    <row r="25" ht="14.25" customHeight="1">
      <c r="A25" s="51">
        <v>45881.0</v>
      </c>
      <c r="B25" s="52"/>
      <c r="C25" s="53"/>
      <c r="D25" s="53"/>
      <c r="E25" s="53">
        <f>882.35</f>
        <v>882.35</v>
      </c>
      <c r="F25" s="27"/>
      <c r="G25" s="53"/>
      <c r="H25" s="61"/>
      <c r="I25" s="53"/>
      <c r="J25" s="53"/>
      <c r="K25" s="53"/>
      <c r="L25" s="53"/>
      <c r="M25" s="53"/>
      <c r="N25" s="53"/>
      <c r="O25" s="53"/>
      <c r="P25" s="53"/>
      <c r="Q25" s="53"/>
      <c r="R25" s="53">
        <f>149610.97</f>
        <v>149610.97</v>
      </c>
      <c r="S25" s="99"/>
      <c r="T25" s="53"/>
      <c r="U25" s="27">
        <f>3630+1445</f>
        <v>5075</v>
      </c>
      <c r="V25" s="10" t="s">
        <v>79</v>
      </c>
      <c r="W25" s="27"/>
      <c r="X25" s="27"/>
      <c r="Y25" s="27"/>
    </row>
    <row r="26" ht="14.25" customHeight="1">
      <c r="A26" s="51">
        <v>45881.0</v>
      </c>
      <c r="B26" s="12"/>
      <c r="C26" s="12"/>
      <c r="D26" s="53"/>
      <c r="E26" s="53">
        <f>0.5+100</f>
        <v>100.5</v>
      </c>
      <c r="F26" s="27"/>
      <c r="G26" s="53"/>
      <c r="H26" s="61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99"/>
      <c r="T26" s="53"/>
      <c r="U26" s="27"/>
      <c r="V26" s="10"/>
      <c r="W26" s="27"/>
      <c r="X26" s="27"/>
      <c r="Y26" s="27"/>
    </row>
    <row r="27" ht="14.25" customHeight="1">
      <c r="A27" s="51">
        <v>45882.0</v>
      </c>
      <c r="B27" s="12"/>
      <c r="C27" s="12"/>
      <c r="D27" s="53"/>
      <c r="E27" s="53">
        <f>29433.09</f>
        <v>29433.09</v>
      </c>
      <c r="F27" s="27"/>
      <c r="G27" s="53"/>
      <c r="H27" s="61"/>
      <c r="I27" s="53"/>
      <c r="J27" s="53"/>
      <c r="K27" s="53">
        <f>26350+22040</f>
        <v>48390</v>
      </c>
      <c r="L27" s="53"/>
      <c r="M27" s="53"/>
      <c r="N27" s="53"/>
      <c r="O27" s="53"/>
      <c r="P27" s="53"/>
      <c r="Q27" s="53"/>
      <c r="R27" s="53">
        <f>1639.34+5+253.62+5+1049.88</f>
        <v>2952.84</v>
      </c>
      <c r="S27" s="99"/>
      <c r="T27" s="53"/>
      <c r="U27" s="27">
        <f>82925</f>
        <v>82925</v>
      </c>
      <c r="V27" s="10" t="s">
        <v>39</v>
      </c>
      <c r="W27" s="27"/>
      <c r="X27" s="27"/>
      <c r="Y27" s="27"/>
    </row>
    <row r="28" ht="14.25" customHeight="1">
      <c r="A28" s="51">
        <v>45882.0</v>
      </c>
      <c r="B28" s="12"/>
      <c r="C28" s="12"/>
      <c r="D28" s="53"/>
      <c r="E28" s="53">
        <f>9.5+149.5+100</f>
        <v>259</v>
      </c>
      <c r="F28" s="27"/>
      <c r="G28" s="53"/>
      <c r="H28" s="61"/>
      <c r="I28" s="53"/>
      <c r="J28" s="53"/>
      <c r="K28" s="53"/>
      <c r="L28" s="53"/>
      <c r="M28" s="53"/>
      <c r="N28" s="53">
        <f>6904.8+8344.08+6904.8+6594.89+6904.8</f>
        <v>35653.37</v>
      </c>
      <c r="O28" s="53"/>
      <c r="P28" s="53"/>
      <c r="Q28" s="53"/>
      <c r="R28" s="53"/>
      <c r="S28" s="99"/>
      <c r="T28" s="53"/>
      <c r="U28" s="27"/>
      <c r="V28" s="21"/>
      <c r="W28" s="27"/>
      <c r="X28" s="27"/>
      <c r="Y28" s="27"/>
    </row>
    <row r="29" ht="14.25" customHeight="1">
      <c r="A29" s="51">
        <v>45883.0</v>
      </c>
      <c r="B29" s="12"/>
      <c r="C29" s="12"/>
      <c r="D29" s="53"/>
      <c r="E29" s="53">
        <f>1710+22351</f>
        <v>24061</v>
      </c>
      <c r="F29" s="27"/>
      <c r="G29" s="53"/>
      <c r="H29" s="61"/>
      <c r="I29" s="53"/>
      <c r="J29" s="53"/>
      <c r="K29" s="53"/>
      <c r="L29" s="53"/>
      <c r="M29" s="53"/>
      <c r="N29" s="53"/>
      <c r="O29" s="53"/>
      <c r="P29" s="53"/>
      <c r="Q29" s="53"/>
      <c r="R29" s="53">
        <f>6113.12+5+6113.12+5+765.64+5+3368.83+5+2756.32+5+3493.21+5+793.91+5+2858.08+5+3461.14+5</f>
        <v>29768.37</v>
      </c>
      <c r="S29" s="99"/>
      <c r="T29" s="53"/>
      <c r="U29" s="27"/>
      <c r="V29" s="10"/>
      <c r="W29" s="27"/>
      <c r="X29" s="27"/>
      <c r="Y29" s="27"/>
    </row>
    <row r="30" ht="14.25" customHeight="1">
      <c r="A30" s="51">
        <v>45883.0</v>
      </c>
      <c r="B30" s="12"/>
      <c r="C30" s="12"/>
      <c r="D30" s="53"/>
      <c r="E30" s="53"/>
      <c r="F30" s="27"/>
      <c r="G30" s="53"/>
      <c r="H30" s="61"/>
      <c r="I30" s="53"/>
      <c r="J30" s="53"/>
      <c r="K30" s="53"/>
      <c r="L30" s="53"/>
      <c r="M30" s="53"/>
      <c r="N30" s="53"/>
      <c r="O30" s="53"/>
      <c r="P30" s="53"/>
      <c r="Q30" s="53"/>
      <c r="R30" s="53">
        <f>11790.92+5</f>
        <v>11795.92</v>
      </c>
      <c r="S30" s="99"/>
      <c r="T30" s="53"/>
      <c r="U30" s="27"/>
      <c r="V30" s="10"/>
      <c r="W30" s="27"/>
      <c r="X30" s="27"/>
      <c r="Y30" s="27"/>
    </row>
    <row r="31" ht="14.25" customHeight="1">
      <c r="A31" s="51">
        <v>45884.0</v>
      </c>
      <c r="B31" s="12"/>
      <c r="C31" s="12"/>
      <c r="D31" s="53"/>
      <c r="E31" s="53">
        <f>9.5+0.5+199.5+104800</f>
        <v>105009.5</v>
      </c>
      <c r="F31" s="27"/>
      <c r="G31" s="53"/>
      <c r="H31" s="61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99"/>
      <c r="T31" s="53"/>
      <c r="U31" s="27">
        <f>2802</f>
        <v>2802</v>
      </c>
      <c r="V31" s="21" t="s">
        <v>21</v>
      </c>
      <c r="W31" s="27"/>
      <c r="X31" s="27"/>
      <c r="Y31" s="27"/>
    </row>
    <row r="32" ht="14.25" customHeight="1">
      <c r="A32" s="51">
        <v>45884.0</v>
      </c>
      <c r="B32" s="56"/>
      <c r="C32" s="53"/>
      <c r="D32" s="53"/>
      <c r="E32" s="55">
        <v>7446.29</v>
      </c>
      <c r="F32" s="27"/>
      <c r="G32" s="53"/>
      <c r="H32" s="61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99"/>
      <c r="T32" s="53"/>
      <c r="U32" s="27">
        <f>7500</f>
        <v>7500</v>
      </c>
      <c r="V32" s="33" t="s">
        <v>206</v>
      </c>
      <c r="W32" s="27"/>
      <c r="X32" s="27"/>
      <c r="Y32" s="27"/>
    </row>
    <row r="33" ht="14.25" customHeight="1">
      <c r="A33" s="51">
        <v>45885.0</v>
      </c>
      <c r="B33" s="56"/>
      <c r="C33" s="53"/>
      <c r="D33" s="53"/>
      <c r="E33" s="53">
        <f>9.5+2080.69</f>
        <v>2090.19</v>
      </c>
      <c r="F33" s="27"/>
      <c r="G33" s="53"/>
      <c r="H33" s="61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99"/>
      <c r="T33" s="53"/>
      <c r="U33" s="27"/>
      <c r="V33" s="21"/>
      <c r="W33" s="27"/>
      <c r="X33" s="27"/>
      <c r="Y33" s="27"/>
    </row>
    <row r="34" ht="14.25" customHeight="1">
      <c r="A34" s="51">
        <v>45886.0</v>
      </c>
      <c r="B34" s="56"/>
      <c r="C34" s="53"/>
      <c r="D34" s="53"/>
      <c r="E34" s="53">
        <f>1881.56</f>
        <v>1881.56</v>
      </c>
      <c r="F34" s="27"/>
      <c r="G34" s="53"/>
      <c r="H34" s="61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99"/>
      <c r="T34" s="53"/>
      <c r="U34" s="27">
        <f>2384.88</f>
        <v>2384.88</v>
      </c>
      <c r="V34" s="21" t="s">
        <v>84</v>
      </c>
      <c r="W34" s="27"/>
      <c r="X34" s="27"/>
      <c r="Y34" s="27"/>
    </row>
    <row r="35" ht="14.25" customHeight="1">
      <c r="A35" s="51">
        <v>45886.0</v>
      </c>
      <c r="B35" s="56"/>
      <c r="C35" s="53"/>
      <c r="D35" s="53"/>
      <c r="E35" s="53"/>
      <c r="F35" s="27"/>
      <c r="G35" s="53"/>
      <c r="H35" s="61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99"/>
      <c r="T35" s="53"/>
      <c r="U35" s="27">
        <f>70780+41683</f>
        <v>112463</v>
      </c>
      <c r="V35" s="10" t="s">
        <v>85</v>
      </c>
      <c r="W35" s="27"/>
      <c r="X35" s="27"/>
      <c r="Y35" s="27"/>
    </row>
    <row r="36" ht="14.25" customHeight="1">
      <c r="A36" s="51">
        <v>45887.0</v>
      </c>
      <c r="B36" s="56"/>
      <c r="C36" s="53"/>
      <c r="D36" s="53"/>
      <c r="E36" s="53">
        <f>2222.07</f>
        <v>2222.07</v>
      </c>
      <c r="F36" s="27"/>
      <c r="G36" s="53"/>
      <c r="H36" s="61"/>
      <c r="I36" s="53"/>
      <c r="J36" s="53"/>
      <c r="K36" s="53"/>
      <c r="L36" s="53"/>
      <c r="M36" s="53"/>
      <c r="N36" s="53">
        <f>6950+16050+3750+3100</f>
        <v>29850</v>
      </c>
      <c r="O36" s="53"/>
      <c r="P36" s="53"/>
      <c r="Q36" s="53"/>
      <c r="R36" s="53"/>
      <c r="S36" s="99"/>
      <c r="T36" s="53"/>
      <c r="U36" s="26">
        <f>45000</f>
        <v>45000</v>
      </c>
      <c r="V36" s="33" t="s">
        <v>207</v>
      </c>
      <c r="W36" s="27"/>
      <c r="X36" s="27"/>
      <c r="Y36" s="27"/>
    </row>
    <row r="37" ht="14.25" customHeight="1">
      <c r="A37" s="51">
        <v>45887.0</v>
      </c>
      <c r="B37" s="31" t="s">
        <v>48</v>
      </c>
      <c r="C37" s="55">
        <v>16708.43</v>
      </c>
      <c r="D37" s="53"/>
      <c r="E37" s="53">
        <f>1.5</f>
        <v>1.5</v>
      </c>
      <c r="F37" s="27"/>
      <c r="G37" s="53"/>
      <c r="H37" s="61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99"/>
      <c r="T37" s="53"/>
      <c r="U37" s="27">
        <f>1824</f>
        <v>1824</v>
      </c>
      <c r="V37" s="33" t="s">
        <v>74</v>
      </c>
      <c r="W37" s="27"/>
      <c r="X37" s="27"/>
      <c r="Y37" s="27"/>
    </row>
    <row r="38" ht="14.25" customHeight="1">
      <c r="A38" s="51">
        <v>45888.0</v>
      </c>
      <c r="B38" s="52"/>
      <c r="C38" s="53"/>
      <c r="D38" s="53"/>
      <c r="E38" s="53">
        <f>866.43</f>
        <v>866.43</v>
      </c>
      <c r="F38" s="27"/>
      <c r="G38" s="53"/>
      <c r="H38" s="61"/>
      <c r="I38" s="53"/>
      <c r="J38" s="53"/>
      <c r="K38" s="53"/>
      <c r="L38" s="53"/>
      <c r="M38" s="53"/>
      <c r="N38" s="53">
        <f>3000+298+2270</f>
        <v>5568</v>
      </c>
      <c r="O38" s="53"/>
      <c r="P38" s="53"/>
      <c r="Q38" s="53"/>
      <c r="R38" s="53"/>
      <c r="S38" s="99"/>
      <c r="T38" s="53"/>
      <c r="U38" s="27"/>
      <c r="V38" s="21"/>
      <c r="W38" s="27"/>
      <c r="X38" s="27"/>
      <c r="Y38" s="27"/>
    </row>
    <row r="39" ht="14.25" customHeight="1">
      <c r="A39" s="51">
        <v>45888.0</v>
      </c>
      <c r="B39" s="52"/>
      <c r="C39" s="53"/>
      <c r="D39" s="53"/>
      <c r="E39" s="53">
        <f>500</f>
        <v>500</v>
      </c>
      <c r="F39" s="27"/>
      <c r="G39" s="53"/>
      <c r="H39" s="61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99"/>
      <c r="T39" s="53"/>
      <c r="U39" s="27"/>
      <c r="V39" s="10"/>
      <c r="W39" s="27"/>
      <c r="X39" s="27"/>
      <c r="Y39" s="27"/>
    </row>
    <row r="40" ht="14.25" customHeight="1">
      <c r="A40" s="51">
        <v>45889.0</v>
      </c>
      <c r="B40" s="52"/>
      <c r="C40" s="53"/>
      <c r="D40" s="53"/>
      <c r="E40" s="53">
        <f>3000</f>
        <v>3000</v>
      </c>
      <c r="F40" s="27"/>
      <c r="G40" s="53"/>
      <c r="H40" s="61"/>
      <c r="I40" s="53"/>
      <c r="J40" s="53"/>
      <c r="K40" s="53">
        <f>24510+36210+20880+23200</f>
        <v>104800</v>
      </c>
      <c r="L40" s="53"/>
      <c r="M40" s="53"/>
      <c r="N40" s="53">
        <f>1065</f>
        <v>1065</v>
      </c>
      <c r="O40" s="53"/>
      <c r="P40" s="53"/>
      <c r="Q40" s="53"/>
      <c r="R40" s="53"/>
      <c r="S40" s="99"/>
      <c r="T40" s="53"/>
      <c r="U40" s="27"/>
      <c r="V40" s="10"/>
      <c r="W40" s="27"/>
      <c r="X40" s="27"/>
      <c r="Y40" s="27"/>
    </row>
    <row r="41" ht="14.25" customHeight="1">
      <c r="A41" s="51">
        <v>45889.0</v>
      </c>
      <c r="B41" s="52"/>
      <c r="C41" s="53"/>
      <c r="D41" s="53"/>
      <c r="E41" s="53">
        <f>304</f>
        <v>304</v>
      </c>
      <c r="F41" s="27"/>
      <c r="G41" s="53"/>
      <c r="H41" s="61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99"/>
      <c r="T41" s="53"/>
      <c r="U41" s="27"/>
      <c r="V41" s="10"/>
      <c r="W41" s="27"/>
      <c r="X41" s="27"/>
      <c r="Y41" s="27"/>
    </row>
    <row r="42" ht="14.25" customHeight="1">
      <c r="A42" s="51">
        <v>45890.0</v>
      </c>
      <c r="B42" s="54" t="s">
        <v>150</v>
      </c>
      <c r="C42" s="55">
        <v>70000.0</v>
      </c>
      <c r="D42" s="53"/>
      <c r="E42" s="53">
        <f>9.5+10.5+100</f>
        <v>120</v>
      </c>
      <c r="F42" s="27"/>
      <c r="G42" s="53"/>
      <c r="H42" s="61"/>
      <c r="I42" s="53"/>
      <c r="J42" s="53"/>
      <c r="K42" s="53"/>
      <c r="L42" s="53"/>
      <c r="M42" s="53"/>
      <c r="N42" s="53">
        <f>2529.5+756</f>
        <v>3285.5</v>
      </c>
      <c r="O42" s="53"/>
      <c r="P42" s="53"/>
      <c r="Q42" s="53"/>
      <c r="R42" s="53"/>
      <c r="S42" s="99"/>
      <c r="T42" s="53"/>
      <c r="U42" s="27">
        <f>364.46</f>
        <v>364.46</v>
      </c>
      <c r="V42" s="21" t="s">
        <v>88</v>
      </c>
      <c r="W42" s="27"/>
      <c r="X42" s="27"/>
      <c r="Y42" s="27"/>
    </row>
    <row r="43" ht="14.25" customHeight="1">
      <c r="A43" s="51">
        <v>45890.0</v>
      </c>
      <c r="B43" s="54" t="s">
        <v>44</v>
      </c>
      <c r="C43" s="55">
        <v>3371.79</v>
      </c>
      <c r="D43" s="53"/>
      <c r="E43" s="53">
        <f>100</f>
        <v>100</v>
      </c>
      <c r="F43" s="27"/>
      <c r="G43" s="53"/>
      <c r="H43" s="61"/>
      <c r="I43" s="53"/>
      <c r="J43" s="53"/>
      <c r="K43" s="53"/>
      <c r="L43" s="53"/>
      <c r="M43" s="53"/>
      <c r="N43" s="53">
        <f>1106.79</f>
        <v>1106.79</v>
      </c>
      <c r="O43" s="53"/>
      <c r="P43" s="53"/>
      <c r="Q43" s="53"/>
      <c r="R43" s="53"/>
      <c r="S43" s="99"/>
      <c r="T43" s="53"/>
      <c r="U43" s="27"/>
      <c r="V43" s="10"/>
      <c r="W43" s="27"/>
      <c r="X43" s="27"/>
      <c r="Y43" s="27"/>
    </row>
    <row r="44" ht="14.25" customHeight="1">
      <c r="A44" s="51">
        <v>45891.0</v>
      </c>
      <c r="B44" s="52"/>
      <c r="C44" s="53"/>
      <c r="D44" s="53"/>
      <c r="E44" s="53">
        <f>2826.54</f>
        <v>2826.54</v>
      </c>
      <c r="F44" s="27"/>
      <c r="G44" s="53"/>
      <c r="H44" s="61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99"/>
      <c r="T44" s="53"/>
      <c r="U44" s="27"/>
      <c r="V44" s="21"/>
      <c r="W44" s="27"/>
      <c r="X44" s="27"/>
      <c r="Y44" s="27"/>
    </row>
    <row r="45" ht="14.25" customHeight="1">
      <c r="A45" s="51">
        <v>45891.0</v>
      </c>
      <c r="B45" s="102" t="s">
        <v>44</v>
      </c>
      <c r="C45" s="55">
        <v>3358.78</v>
      </c>
      <c r="D45" s="53"/>
      <c r="E45" s="53">
        <f>7188+15000</f>
        <v>22188</v>
      </c>
      <c r="F45" s="27"/>
      <c r="G45" s="53"/>
      <c r="H45" s="61"/>
      <c r="I45" s="53"/>
      <c r="J45" s="53">
        <f>241500</f>
        <v>241500</v>
      </c>
      <c r="K45" s="53"/>
      <c r="L45" s="53"/>
      <c r="M45" s="53"/>
      <c r="N45" s="53"/>
      <c r="P45" s="53"/>
      <c r="Q45" s="53"/>
      <c r="R45" s="53"/>
      <c r="S45" s="99"/>
      <c r="T45" s="53"/>
      <c r="U45" s="27">
        <f>336</f>
        <v>336</v>
      </c>
      <c r="V45" s="33" t="s">
        <v>208</v>
      </c>
      <c r="W45" s="27"/>
      <c r="X45" s="27"/>
      <c r="Y45" s="27"/>
    </row>
    <row r="46" ht="14.25" customHeight="1">
      <c r="A46" s="51">
        <v>45892.0</v>
      </c>
      <c r="B46" s="52"/>
      <c r="C46" s="53"/>
      <c r="D46" s="53"/>
      <c r="E46" s="53">
        <f>1590.86</f>
        <v>1590.86</v>
      </c>
      <c r="F46" s="27"/>
      <c r="G46" s="53"/>
      <c r="H46" s="61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99"/>
      <c r="T46" s="53"/>
      <c r="U46" s="27"/>
      <c r="V46" s="21"/>
      <c r="W46" s="27"/>
      <c r="X46" s="27"/>
      <c r="Y46" s="27"/>
    </row>
    <row r="47" ht="14.25" customHeight="1">
      <c r="A47" s="51">
        <v>45892.0</v>
      </c>
      <c r="B47" s="12"/>
      <c r="C47" s="53"/>
      <c r="D47" s="53"/>
      <c r="E47" s="53">
        <f>3251+9561</f>
        <v>12812</v>
      </c>
      <c r="F47" s="27"/>
      <c r="G47" s="53"/>
      <c r="H47" s="61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99"/>
      <c r="T47" s="53"/>
      <c r="U47" s="27"/>
      <c r="V47" s="10"/>
      <c r="W47" s="27"/>
      <c r="X47" s="27"/>
      <c r="Y47" s="27"/>
    </row>
    <row r="48" ht="14.25" customHeight="1">
      <c r="A48" s="51">
        <v>45893.0</v>
      </c>
      <c r="B48" s="56"/>
      <c r="C48" s="53"/>
      <c r="D48" s="53"/>
      <c r="E48" s="53">
        <f>500+0.5+9.5+0.5</f>
        <v>510.5</v>
      </c>
      <c r="F48" s="27"/>
      <c r="G48" s="53"/>
      <c r="H48" s="61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99"/>
      <c r="T48" s="53">
        <f>79500+43500</f>
        <v>123000</v>
      </c>
      <c r="U48" s="27"/>
      <c r="V48" s="14"/>
      <c r="W48" s="27"/>
      <c r="X48" s="27"/>
      <c r="Y48" s="27"/>
    </row>
    <row r="49" ht="14.25" customHeight="1">
      <c r="A49" s="51">
        <v>45893.0</v>
      </c>
      <c r="B49" s="56"/>
      <c r="C49" s="53"/>
      <c r="D49" s="53"/>
      <c r="E49" s="53">
        <f>1456.74</f>
        <v>1456.74</v>
      </c>
      <c r="F49" s="27"/>
      <c r="G49" s="53"/>
      <c r="H49" s="61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99"/>
      <c r="T49" s="53"/>
      <c r="U49" s="27"/>
      <c r="V49" s="14"/>
      <c r="W49" s="27"/>
      <c r="X49" s="27"/>
      <c r="Y49" s="27"/>
    </row>
    <row r="50" ht="14.25" customHeight="1">
      <c r="A50" s="51">
        <v>45894.0</v>
      </c>
      <c r="B50" s="56"/>
      <c r="C50" s="53"/>
      <c r="D50" s="53"/>
      <c r="E50" s="53">
        <f>0.5+0.5+0.5+99.5+0.5</f>
        <v>101.5</v>
      </c>
      <c r="F50" s="27"/>
      <c r="G50" s="53"/>
      <c r="H50" s="61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99"/>
      <c r="T50" s="53"/>
      <c r="U50" s="27"/>
      <c r="V50" s="10"/>
      <c r="W50" s="27"/>
      <c r="X50" s="27"/>
      <c r="Y50" s="27"/>
    </row>
    <row r="51" ht="14.25" customHeight="1">
      <c r="A51" s="51">
        <v>45894.0</v>
      </c>
      <c r="B51" s="56"/>
      <c r="C51" s="53"/>
      <c r="D51" s="53"/>
      <c r="E51" s="53">
        <f>1292.99</f>
        <v>1292.99</v>
      </c>
      <c r="F51" s="27"/>
      <c r="G51" s="53"/>
      <c r="H51" s="61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99"/>
      <c r="T51" s="53"/>
      <c r="U51" s="27"/>
      <c r="V51" s="10"/>
      <c r="W51" s="27"/>
      <c r="X51" s="27"/>
      <c r="Y51" s="27"/>
    </row>
    <row r="52" ht="14.25" customHeight="1">
      <c r="A52" s="51">
        <v>45895.0</v>
      </c>
      <c r="B52" s="54" t="s">
        <v>63</v>
      </c>
      <c r="C52" s="55">
        <v>50000.0</v>
      </c>
      <c r="D52" s="53"/>
      <c r="E52" s="53">
        <f>100+9.5+41000</f>
        <v>41109.5</v>
      </c>
      <c r="F52" s="27"/>
      <c r="G52" s="53"/>
      <c r="H52" s="61"/>
      <c r="I52" s="53"/>
      <c r="J52" s="53"/>
      <c r="K52" s="53"/>
      <c r="L52" s="53"/>
      <c r="M52" s="53"/>
      <c r="N52" s="53"/>
      <c r="O52" s="53">
        <f>50000+216737.4</f>
        <v>266737.4</v>
      </c>
      <c r="P52" s="53"/>
      <c r="Q52" s="53"/>
      <c r="R52" s="53"/>
      <c r="S52" s="99"/>
      <c r="T52" s="53"/>
      <c r="U52" s="27"/>
      <c r="V52" s="10"/>
      <c r="W52" s="27"/>
      <c r="X52" s="27"/>
      <c r="Y52" s="27"/>
    </row>
    <row r="53" ht="14.25" customHeight="1">
      <c r="A53" s="51">
        <v>45895.0</v>
      </c>
      <c r="B53" s="52"/>
      <c r="C53" s="53"/>
      <c r="D53" s="53"/>
      <c r="E53" s="53">
        <f>209.45</f>
        <v>209.45</v>
      </c>
      <c r="F53" s="27"/>
      <c r="G53" s="53"/>
      <c r="H53" s="61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99"/>
      <c r="T53" s="53"/>
      <c r="U53" s="27"/>
      <c r="V53" s="10"/>
      <c r="W53" s="27"/>
      <c r="X53" s="27"/>
      <c r="Y53" s="27"/>
    </row>
    <row r="54" ht="14.25" customHeight="1">
      <c r="A54" s="51">
        <v>45896.0</v>
      </c>
      <c r="B54" s="52"/>
      <c r="C54" s="53"/>
      <c r="D54" s="53"/>
      <c r="E54" s="53">
        <f>499.5+999.5</f>
        <v>1499</v>
      </c>
      <c r="F54" s="27"/>
      <c r="G54" s="53"/>
      <c r="H54" s="61"/>
      <c r="I54" s="53"/>
      <c r="J54" s="53"/>
      <c r="K54" s="53"/>
      <c r="L54" s="53"/>
      <c r="M54" s="53"/>
      <c r="N54" s="53"/>
      <c r="O54" s="53"/>
      <c r="P54" s="53"/>
      <c r="Q54" s="53"/>
      <c r="R54" s="53">
        <f>65232.7</f>
        <v>65232.7</v>
      </c>
      <c r="S54" s="99"/>
      <c r="T54" s="53"/>
      <c r="U54" s="27"/>
      <c r="V54" s="10"/>
      <c r="W54" s="27"/>
      <c r="X54" s="27"/>
      <c r="Y54" s="27"/>
    </row>
    <row r="55" ht="14.25" customHeight="1">
      <c r="A55" s="51">
        <v>45896.0</v>
      </c>
      <c r="B55" s="54" t="s">
        <v>209</v>
      </c>
      <c r="C55" s="55">
        <v>5000.0</v>
      </c>
      <c r="D55" s="53"/>
      <c r="E55" s="53">
        <f>13500</f>
        <v>13500</v>
      </c>
      <c r="F55" s="27"/>
      <c r="G55" s="53"/>
      <c r="H55" s="61"/>
      <c r="I55" s="53"/>
      <c r="J55" s="53"/>
      <c r="K55" s="53"/>
      <c r="L55" s="53"/>
      <c r="M55" s="15"/>
      <c r="N55" s="53">
        <f>4153+2741.64</f>
        <v>6894.64</v>
      </c>
      <c r="O55" s="53"/>
      <c r="P55" s="53"/>
      <c r="Q55" s="53"/>
      <c r="R55" s="53">
        <f>700+525+3200</f>
        <v>4425</v>
      </c>
      <c r="S55" s="99"/>
      <c r="T55" s="53">
        <f>18778+14450+8180+8960+9517+10115</f>
        <v>70000</v>
      </c>
      <c r="U55" s="27"/>
      <c r="W55" s="27"/>
      <c r="X55" s="27"/>
      <c r="Y55" s="27"/>
    </row>
    <row r="56" ht="14.25" customHeight="1">
      <c r="A56" s="51">
        <v>45897.0</v>
      </c>
      <c r="B56" s="59" t="s">
        <v>210</v>
      </c>
      <c r="C56" s="55">
        <v>90999.5</v>
      </c>
      <c r="D56" s="53"/>
      <c r="E56" s="53">
        <f>0.5+0.5+9.5</f>
        <v>10.5</v>
      </c>
      <c r="F56" s="27"/>
      <c r="G56" s="53"/>
      <c r="H56" s="61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99"/>
      <c r="T56" s="53"/>
      <c r="U56" s="27"/>
      <c r="W56" s="27"/>
      <c r="X56" s="27"/>
      <c r="Y56" s="27"/>
    </row>
    <row r="57" ht="14.25" customHeight="1">
      <c r="A57" s="51">
        <v>45897.0</v>
      </c>
      <c r="B57" s="54" t="s">
        <v>211</v>
      </c>
      <c r="C57" s="55">
        <v>290086.0</v>
      </c>
      <c r="D57" s="53"/>
      <c r="E57" s="53">
        <f>1500</f>
        <v>1500</v>
      </c>
      <c r="F57" s="27"/>
      <c r="G57" s="53"/>
      <c r="H57" s="61"/>
      <c r="I57" s="53">
        <f>89180</f>
        <v>89180</v>
      </c>
      <c r="J57" s="53"/>
      <c r="K57" s="53"/>
      <c r="L57" s="53"/>
      <c r="M57" s="53"/>
      <c r="N57" s="53"/>
      <c r="O57" s="53"/>
      <c r="P57" s="53"/>
      <c r="Q57" s="53"/>
      <c r="R57" s="53"/>
      <c r="S57" s="99"/>
      <c r="T57" s="53"/>
      <c r="U57" s="27"/>
      <c r="W57" s="27"/>
      <c r="X57" s="27"/>
      <c r="Y57" s="27"/>
    </row>
    <row r="58" ht="14.25" customHeight="1">
      <c r="A58" s="51">
        <v>45898.0</v>
      </c>
      <c r="B58" s="54" t="s">
        <v>64</v>
      </c>
      <c r="C58" s="55">
        <v>15000.0</v>
      </c>
      <c r="D58" s="53"/>
      <c r="E58" s="53">
        <f>351.36</f>
        <v>351.36</v>
      </c>
      <c r="F58" s="27"/>
      <c r="G58" s="53"/>
      <c r="H58" s="61"/>
      <c r="I58" s="53"/>
      <c r="J58" s="53"/>
      <c r="K58" s="53"/>
      <c r="L58" s="53"/>
      <c r="M58" s="53"/>
      <c r="N58" s="53">
        <f>10240+3375</f>
        <v>13615</v>
      </c>
      <c r="O58" s="53"/>
      <c r="P58" s="53"/>
      <c r="Q58" s="53"/>
      <c r="R58" s="53"/>
      <c r="S58" s="99"/>
      <c r="T58" s="53"/>
      <c r="U58" s="27"/>
      <c r="W58" s="27"/>
      <c r="X58" s="27"/>
      <c r="Y58" s="27"/>
    </row>
    <row r="59" ht="14.25" customHeight="1">
      <c r="A59" s="51">
        <v>45898.0</v>
      </c>
      <c r="B59" s="52"/>
      <c r="C59" s="53"/>
      <c r="D59" s="53"/>
      <c r="E59" s="55">
        <v>8564.4</v>
      </c>
      <c r="F59" s="27"/>
      <c r="G59" s="53"/>
      <c r="H59" s="61"/>
      <c r="I59" s="53"/>
      <c r="J59" s="53">
        <f>252405+42000</f>
        <v>294405</v>
      </c>
      <c r="K59" s="53"/>
      <c r="L59" s="53"/>
      <c r="M59" s="53"/>
      <c r="N59" s="53"/>
      <c r="P59" s="53"/>
      <c r="Q59" s="53"/>
      <c r="R59" s="53">
        <f>11736.18+5++31295.29+5+24809.75+5+24809.75+41703.42+5+24809.75+5+31295.29+5+33078.5+5+49980+5+31188.96+5+58063+5+22682.88+5+33078.5+5+24809.75+5+24809.75+5+24809.75++5+24809.75+5+31295.29+5+24809.75+5+762.09+5+3353.19+5+2743.52+5</f>
        <v>580839.11</v>
      </c>
      <c r="S59" s="99"/>
      <c r="T59" s="53"/>
      <c r="U59" s="27"/>
      <c r="W59" s="27"/>
      <c r="X59" s="27"/>
      <c r="Y59" s="27"/>
    </row>
    <row r="60" ht="14.25" customHeight="1">
      <c r="A60" s="51">
        <v>45899.0</v>
      </c>
      <c r="B60" s="52"/>
      <c r="C60" s="53"/>
      <c r="D60" s="53"/>
      <c r="E60" s="53"/>
      <c r="F60" s="27"/>
      <c r="G60" s="53"/>
      <c r="H60" s="61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99"/>
      <c r="T60" s="53"/>
      <c r="U60" s="27"/>
      <c r="W60" s="27"/>
      <c r="X60" s="27"/>
      <c r="Y60" s="27"/>
    </row>
    <row r="61" ht="14.25" customHeight="1">
      <c r="A61" s="51">
        <v>45899.0</v>
      </c>
      <c r="B61" s="52"/>
      <c r="C61" s="53"/>
      <c r="D61" s="53"/>
      <c r="E61" s="53"/>
      <c r="F61" s="27"/>
      <c r="G61" s="53"/>
      <c r="H61" s="61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99"/>
      <c r="T61" s="53"/>
      <c r="U61" s="27"/>
      <c r="W61" s="27"/>
      <c r="X61" s="27"/>
      <c r="Y61" s="27"/>
    </row>
    <row r="62" ht="14.25" customHeight="1">
      <c r="A62" s="51">
        <v>45900.0</v>
      </c>
      <c r="B62" s="52"/>
      <c r="C62" s="53"/>
      <c r="D62" s="53"/>
      <c r="E62" s="53">
        <f>5000</f>
        <v>5000</v>
      </c>
      <c r="F62" s="27"/>
      <c r="G62" s="53"/>
      <c r="H62" s="61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99"/>
      <c r="T62" s="53"/>
      <c r="U62" s="27"/>
      <c r="W62" s="27"/>
      <c r="X62" s="27"/>
      <c r="Y62" s="27"/>
    </row>
    <row r="63" ht="14.25" customHeight="1">
      <c r="A63" s="71">
        <v>45900.0</v>
      </c>
      <c r="B63" s="94"/>
      <c r="C63" s="73"/>
      <c r="D63" s="73"/>
      <c r="E63" s="73"/>
      <c r="F63" s="27"/>
      <c r="G63" s="72">
        <v>20.39</v>
      </c>
      <c r="H63" s="74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103"/>
      <c r="T63" s="73"/>
      <c r="U63" s="27"/>
      <c r="W63" s="27"/>
      <c r="X63" s="27"/>
      <c r="Y63" s="27"/>
    </row>
    <row r="64" ht="14.25" customHeight="1">
      <c r="A64" s="95" t="s">
        <v>47</v>
      </c>
      <c r="B64" s="43"/>
      <c r="C64" s="43">
        <f>SUM(C4:C63)</f>
        <v>569085.9</v>
      </c>
      <c r="D64" s="43">
        <f t="shared" ref="D64:U64" si="1">SUM(D3:D63)</f>
        <v>32809</v>
      </c>
      <c r="E64" s="43">
        <f t="shared" si="1"/>
        <v>939071.23</v>
      </c>
      <c r="F64" s="43">
        <f t="shared" si="1"/>
        <v>0</v>
      </c>
      <c r="G64" s="43">
        <f t="shared" si="1"/>
        <v>20.39</v>
      </c>
      <c r="H64" s="96">
        <f t="shared" si="1"/>
        <v>0</v>
      </c>
      <c r="I64" s="96">
        <f t="shared" si="1"/>
        <v>93680</v>
      </c>
      <c r="J64" s="43">
        <f t="shared" si="1"/>
        <v>535905</v>
      </c>
      <c r="K64" s="43">
        <f t="shared" si="1"/>
        <v>153190</v>
      </c>
      <c r="L64" s="43">
        <f t="shared" si="1"/>
        <v>0</v>
      </c>
      <c r="M64" s="96">
        <f t="shared" si="1"/>
        <v>0</v>
      </c>
      <c r="N64" s="43">
        <f t="shared" si="1"/>
        <v>381625.36</v>
      </c>
      <c r="O64" s="96">
        <f t="shared" si="1"/>
        <v>266737.4</v>
      </c>
      <c r="P64" s="43">
        <f t="shared" si="1"/>
        <v>2040754.8</v>
      </c>
      <c r="Q64" s="43">
        <f t="shared" si="1"/>
        <v>4000</v>
      </c>
      <c r="R64" s="96">
        <f t="shared" si="1"/>
        <v>949749.91</v>
      </c>
      <c r="S64" s="104">
        <f t="shared" si="1"/>
        <v>29160</v>
      </c>
      <c r="T64" s="104">
        <f t="shared" si="1"/>
        <v>225000</v>
      </c>
      <c r="U64" s="105">
        <f t="shared" si="1"/>
        <v>1405716.87</v>
      </c>
      <c r="V64" s="45"/>
      <c r="W64" s="45"/>
      <c r="X64" s="45"/>
      <c r="Y64" s="45"/>
    </row>
    <row r="65" ht="14.25" customHeight="1">
      <c r="A65" s="89"/>
    </row>
    <row r="66" ht="14.25" customHeight="1">
      <c r="A66" s="89"/>
      <c r="B66" s="14"/>
      <c r="C66" s="14"/>
      <c r="D66" s="14"/>
      <c r="M66" s="106"/>
    </row>
    <row r="67" ht="14.25" customHeight="1">
      <c r="A67" s="89"/>
      <c r="B67" s="14"/>
      <c r="C67" s="14"/>
      <c r="D67" s="14"/>
    </row>
    <row r="68" ht="14.25" customHeight="1">
      <c r="A68" s="89"/>
      <c r="B68" s="14"/>
      <c r="C68" s="14"/>
      <c r="D68" s="14"/>
    </row>
    <row r="69" ht="14.25" customHeight="1">
      <c r="A69" s="89"/>
      <c r="B69" s="14"/>
      <c r="C69" s="14"/>
      <c r="D69" s="14"/>
    </row>
    <row r="70" ht="14.25" customHeight="1">
      <c r="A70" s="89"/>
      <c r="B70" s="14"/>
      <c r="C70" s="14"/>
      <c r="D70" s="14"/>
    </row>
    <row r="71" ht="14.25" customHeight="1">
      <c r="A71" s="89"/>
      <c r="B71" s="14"/>
      <c r="C71" s="14"/>
      <c r="D71" s="14"/>
    </row>
    <row r="72" ht="14.25" customHeight="1">
      <c r="A72" s="89"/>
      <c r="B72" s="14"/>
      <c r="C72" s="14"/>
      <c r="D72" s="14"/>
    </row>
    <row r="73" ht="14.25" customHeight="1">
      <c r="A73" s="89"/>
    </row>
    <row r="74" ht="14.25" customHeight="1">
      <c r="A74" s="89"/>
    </row>
    <row r="75" ht="14.25" customHeight="1">
      <c r="A75" s="89"/>
      <c r="G75" s="76">
        <f>C64+D64+E64</f>
        <v>1540966.13</v>
      </c>
    </row>
    <row r="76" ht="14.25" customHeight="1">
      <c r="A76" s="89"/>
    </row>
    <row r="77" ht="14.25" customHeight="1">
      <c r="A77" s="89"/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5.75" customHeight="1">
      <c r="A265" s="89"/>
    </row>
    <row r="266" ht="15.75" customHeight="1">
      <c r="A266" s="89"/>
    </row>
    <row r="267" ht="15.75" customHeight="1">
      <c r="A267" s="89"/>
    </row>
    <row r="268" ht="15.75" customHeight="1">
      <c r="A268" s="89"/>
    </row>
    <row r="269" ht="15.75" customHeight="1">
      <c r="A269" s="89"/>
    </row>
    <row r="270" ht="15.75" customHeight="1">
      <c r="A270" s="89"/>
    </row>
    <row r="271" ht="15.7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  <row r="971" ht="15.75" customHeight="1">
      <c r="A971" s="89"/>
    </row>
    <row r="972" ht="15.75" customHeight="1">
      <c r="A972" s="89"/>
    </row>
    <row r="973" ht="15.75" customHeight="1">
      <c r="A973" s="89"/>
    </row>
    <row r="974" ht="15.75" customHeight="1">
      <c r="A974" s="89"/>
    </row>
    <row r="975" ht="15.75" customHeight="1">
      <c r="A975" s="89"/>
    </row>
    <row r="976" ht="15.75" customHeight="1">
      <c r="A976" s="89"/>
    </row>
    <row r="977" ht="15.75" customHeight="1">
      <c r="A977" s="89"/>
    </row>
    <row r="978" ht="15.75" customHeight="1">
      <c r="A978" s="89"/>
    </row>
    <row r="979" ht="15.75" customHeight="1">
      <c r="A979" s="89"/>
    </row>
    <row r="980" ht="15.75" customHeight="1">
      <c r="A980" s="89"/>
    </row>
    <row r="981" ht="15.75" customHeight="1">
      <c r="A981" s="89"/>
    </row>
    <row r="982" ht="15.75" customHeight="1">
      <c r="A982" s="89"/>
    </row>
    <row r="983" ht="15.75" customHeight="1">
      <c r="A983" s="89"/>
    </row>
    <row r="984" ht="15.75" customHeight="1">
      <c r="A984" s="89"/>
    </row>
    <row r="985" ht="15.75" customHeight="1">
      <c r="A985" s="89"/>
    </row>
    <row r="986" ht="15.75" customHeight="1">
      <c r="A986" s="89"/>
    </row>
    <row r="987" ht="15.75" customHeight="1">
      <c r="A987" s="89"/>
    </row>
    <row r="988" ht="15.75" customHeight="1">
      <c r="A988" s="89"/>
    </row>
    <row r="989" ht="15.75" customHeight="1">
      <c r="A989" s="89"/>
    </row>
    <row r="990" ht="15.75" customHeight="1">
      <c r="A990" s="89"/>
    </row>
    <row r="991" ht="15.75" customHeight="1">
      <c r="A991" s="89"/>
    </row>
    <row r="992" ht="15.75" customHeight="1">
      <c r="A992" s="89"/>
    </row>
    <row r="993" ht="15.75" customHeight="1">
      <c r="A993" s="89"/>
    </row>
    <row r="994" ht="15.75" customHeight="1">
      <c r="A994" s="89"/>
    </row>
    <row r="995" ht="15.75" customHeight="1">
      <c r="A995" s="89"/>
    </row>
    <row r="996" ht="15.75" customHeight="1">
      <c r="A996" s="89"/>
    </row>
  </sheetData>
  <mergeCells count="3">
    <mergeCell ref="B1:C1"/>
    <mergeCell ref="H1:T1"/>
    <mergeCell ref="U1:V1"/>
  </mergeCells>
  <printOptions/>
  <pageMargins bottom="1.0" footer="0.0" header="0.0" left="0.75" right="0.75" top="1.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6.43"/>
    <col customWidth="1" min="5" max="5" width="15.43"/>
    <col customWidth="1" hidden="1" min="6" max="6" width="12.43"/>
    <col customWidth="1" min="7" max="7" width="16.71"/>
    <col customWidth="1" min="8" max="8" width="14.14"/>
    <col customWidth="1" min="9" max="9" width="14.57"/>
    <col customWidth="1" min="10" max="10" width="11.86"/>
    <col customWidth="1" min="11" max="11" width="16.86"/>
    <col customWidth="1" min="12" max="12" width="14.0"/>
    <col customWidth="1" min="13" max="13" width="13.29"/>
    <col customWidth="1" min="14" max="14" width="11.29"/>
    <col customWidth="1" min="15" max="15" width="11.57"/>
    <col customWidth="1" min="16" max="16" width="8.71"/>
    <col customWidth="1" min="17" max="17" width="11.0"/>
    <col customWidth="1" min="18" max="18" width="10.86"/>
    <col customWidth="1" min="19" max="19" width="8.71"/>
    <col customWidth="1" min="20" max="20" width="15.14"/>
    <col customWidth="1" min="21" max="21" width="56.71"/>
    <col customWidth="1" min="22" max="22" width="0.43"/>
    <col customWidth="1" min="23" max="25" width="8.71"/>
  </cols>
  <sheetData>
    <row r="1" ht="80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107"/>
      <c r="U1" s="6" t="s">
        <v>6</v>
      </c>
    </row>
    <row r="2" ht="53.2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8"/>
      <c r="U2" s="6"/>
      <c r="V2" s="8"/>
    </row>
    <row r="3" ht="14.25" customHeight="1">
      <c r="A3" s="108"/>
      <c r="B3" s="109"/>
      <c r="C3" s="110"/>
      <c r="D3" s="110"/>
      <c r="E3" s="110"/>
      <c r="F3" s="111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2"/>
      <c r="U3" s="17" t="s">
        <v>20</v>
      </c>
      <c r="V3" s="17"/>
      <c r="W3" s="27"/>
      <c r="X3" s="27"/>
      <c r="Y3" s="27"/>
    </row>
    <row r="4" ht="14.25" customHeight="1">
      <c r="A4" s="51">
        <v>45901.0</v>
      </c>
      <c r="B4" s="113"/>
      <c r="C4" s="114"/>
      <c r="D4" s="115"/>
      <c r="E4" s="116"/>
      <c r="F4" s="111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1"/>
      <c r="U4" s="21" t="s">
        <v>65</v>
      </c>
      <c r="V4" s="17"/>
      <c r="W4" s="27"/>
      <c r="X4" s="27"/>
      <c r="Y4" s="27"/>
    </row>
    <row r="5" ht="14.25" customHeight="1">
      <c r="A5" s="51">
        <v>45901.0</v>
      </c>
      <c r="B5" s="113"/>
      <c r="C5" s="117"/>
      <c r="D5" s="115"/>
      <c r="E5" s="115"/>
      <c r="F5" s="111"/>
      <c r="G5" s="116"/>
      <c r="H5" s="115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2"/>
      <c r="U5" s="17" t="s">
        <v>212</v>
      </c>
      <c r="V5" s="17"/>
      <c r="W5" s="27"/>
      <c r="X5" s="27"/>
      <c r="Y5" s="27"/>
    </row>
    <row r="6" ht="14.25" customHeight="1">
      <c r="A6" s="51">
        <v>45902.0</v>
      </c>
      <c r="B6" s="113"/>
      <c r="C6" s="114"/>
      <c r="D6" s="115"/>
      <c r="E6" s="116"/>
      <c r="F6" s="111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2"/>
      <c r="U6" s="17" t="s">
        <v>213</v>
      </c>
      <c r="V6" s="17"/>
      <c r="W6" s="27"/>
      <c r="X6" s="27"/>
      <c r="Y6" s="27"/>
    </row>
    <row r="7" ht="14.25" customHeight="1">
      <c r="A7" s="51">
        <v>45902.0</v>
      </c>
      <c r="B7" s="113"/>
      <c r="C7" s="114"/>
      <c r="D7" s="115"/>
      <c r="E7" s="116"/>
      <c r="F7" s="111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2"/>
      <c r="U7" s="17" t="s">
        <v>92</v>
      </c>
      <c r="V7" s="21"/>
      <c r="W7" s="27"/>
      <c r="X7" s="27"/>
      <c r="Y7" s="27"/>
    </row>
    <row r="8" ht="14.25" customHeight="1">
      <c r="A8" s="51">
        <v>45903.0</v>
      </c>
      <c r="B8" s="118"/>
      <c r="C8" s="116"/>
      <c r="D8" s="115"/>
      <c r="E8" s="116"/>
      <c r="F8" s="111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5"/>
      <c r="S8" s="116"/>
      <c r="T8" s="112"/>
      <c r="U8" s="17" t="s">
        <v>67</v>
      </c>
      <c r="V8" s="17"/>
      <c r="W8" s="27"/>
      <c r="X8" s="27"/>
      <c r="Y8" s="27"/>
    </row>
    <row r="9" ht="14.25" customHeight="1">
      <c r="A9" s="51">
        <v>45903.0</v>
      </c>
      <c r="B9" s="118"/>
      <c r="C9" s="116"/>
      <c r="D9" s="115"/>
      <c r="E9" s="115"/>
      <c r="F9" s="111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2"/>
      <c r="U9" s="17" t="s">
        <v>93</v>
      </c>
      <c r="V9" s="21"/>
      <c r="W9" s="27"/>
      <c r="X9" s="27"/>
      <c r="Y9" s="27"/>
    </row>
    <row r="10" ht="14.25" customHeight="1">
      <c r="A10" s="51">
        <v>45904.0</v>
      </c>
      <c r="B10" s="118"/>
      <c r="C10" s="115"/>
      <c r="D10" s="115"/>
      <c r="E10" s="116"/>
      <c r="F10" s="111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2"/>
      <c r="U10" s="17" t="s">
        <v>28</v>
      </c>
      <c r="V10" s="21"/>
      <c r="W10" s="27"/>
      <c r="X10" s="27"/>
      <c r="Y10" s="27"/>
    </row>
    <row r="11" ht="14.25" customHeight="1">
      <c r="A11" s="51">
        <v>45904.0</v>
      </c>
      <c r="B11" s="118"/>
      <c r="C11" s="116"/>
      <c r="D11" s="115"/>
      <c r="E11" s="116"/>
      <c r="F11" s="111"/>
      <c r="G11" s="116"/>
      <c r="H11" s="115"/>
      <c r="I11" s="116"/>
      <c r="J11" s="116"/>
      <c r="K11" s="116"/>
      <c r="L11" s="116"/>
      <c r="M11" s="116"/>
      <c r="N11" s="116"/>
      <c r="O11" s="116"/>
      <c r="P11" s="115"/>
      <c r="Q11" s="116"/>
      <c r="R11" s="116"/>
      <c r="S11" s="116"/>
      <c r="T11" s="112"/>
      <c r="U11" s="17" t="s">
        <v>68</v>
      </c>
      <c r="V11" s="27"/>
      <c r="W11" s="27"/>
      <c r="X11" s="27"/>
      <c r="Y11" s="27"/>
    </row>
    <row r="12" ht="14.25" customHeight="1">
      <c r="A12" s="51">
        <v>45905.0</v>
      </c>
      <c r="B12" s="118"/>
      <c r="C12" s="116"/>
      <c r="D12" s="115"/>
      <c r="E12" s="116"/>
      <c r="F12" s="111"/>
      <c r="G12" s="116"/>
      <c r="H12" s="116"/>
      <c r="I12" s="116"/>
      <c r="J12" s="115"/>
      <c r="K12" s="116"/>
      <c r="L12" s="115"/>
      <c r="M12" s="116"/>
      <c r="N12" s="116"/>
      <c r="O12" s="116"/>
      <c r="P12" s="116"/>
      <c r="Q12" s="115"/>
      <c r="R12" s="116"/>
      <c r="S12" s="116"/>
      <c r="T12" s="111"/>
      <c r="U12" s="17" t="s">
        <v>29</v>
      </c>
      <c r="W12" s="27"/>
      <c r="X12" s="27"/>
      <c r="Y12" s="27"/>
    </row>
    <row r="13" ht="14.25" customHeight="1">
      <c r="A13" s="51">
        <v>45905.0</v>
      </c>
      <c r="B13" s="118"/>
      <c r="C13" s="115"/>
      <c r="D13" s="115"/>
      <c r="E13" s="116"/>
      <c r="F13" s="111"/>
      <c r="G13" s="115"/>
      <c r="H13" s="116"/>
      <c r="I13" s="116"/>
      <c r="J13" s="116"/>
      <c r="K13" s="116"/>
      <c r="L13" s="116"/>
      <c r="M13" s="116"/>
      <c r="N13" s="116"/>
      <c r="O13" s="116"/>
      <c r="P13" s="115"/>
      <c r="Q13" s="116"/>
      <c r="R13" s="116"/>
      <c r="S13" s="116"/>
      <c r="T13" s="112"/>
      <c r="U13" s="27" t="s">
        <v>69</v>
      </c>
      <c r="V13" s="21"/>
      <c r="W13" s="27"/>
      <c r="X13" s="27"/>
      <c r="Y13" s="27"/>
    </row>
    <row r="14" ht="14.25" customHeight="1">
      <c r="A14" s="51">
        <v>45906.0</v>
      </c>
      <c r="B14" s="118"/>
      <c r="C14" s="115"/>
      <c r="D14" s="115"/>
      <c r="E14" s="116"/>
      <c r="F14" s="111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5"/>
      <c r="S14" s="116"/>
      <c r="T14" s="112"/>
      <c r="U14" s="17" t="s">
        <v>70</v>
      </c>
      <c r="V14" s="21"/>
      <c r="W14" s="27"/>
      <c r="X14" s="27"/>
      <c r="Y14" s="27"/>
    </row>
    <row r="15" ht="14.25" customHeight="1">
      <c r="A15" s="51">
        <v>45906.0</v>
      </c>
      <c r="B15" s="118"/>
      <c r="C15" s="116"/>
      <c r="D15" s="115"/>
      <c r="E15" s="116"/>
      <c r="F15" s="111"/>
      <c r="G15" s="116"/>
      <c r="H15" s="116"/>
      <c r="I15" s="116"/>
      <c r="J15" s="116"/>
      <c r="K15" s="116"/>
      <c r="L15" s="116"/>
      <c r="M15" s="116"/>
      <c r="N15" s="116"/>
      <c r="O15" s="116"/>
      <c r="P15" s="115"/>
      <c r="Q15" s="116"/>
      <c r="R15" s="116"/>
      <c r="S15" s="116"/>
      <c r="T15" s="112"/>
      <c r="U15" s="17" t="s">
        <v>71</v>
      </c>
      <c r="V15" s="21"/>
      <c r="W15" s="27"/>
      <c r="X15" s="27"/>
      <c r="Y15" s="27"/>
    </row>
    <row r="16" ht="14.25" customHeight="1">
      <c r="A16" s="51">
        <v>45907.0</v>
      </c>
      <c r="B16" s="113"/>
      <c r="C16" s="119"/>
      <c r="D16" s="115"/>
      <c r="E16" s="116"/>
      <c r="F16" s="111"/>
      <c r="G16" s="116"/>
      <c r="H16" s="116"/>
      <c r="I16" s="116"/>
      <c r="J16" s="116"/>
      <c r="K16" s="116"/>
      <c r="L16" s="116"/>
      <c r="M16" s="115"/>
      <c r="N16" s="116"/>
      <c r="O16" s="116"/>
      <c r="P16" s="116"/>
      <c r="Q16" s="116"/>
      <c r="R16" s="116"/>
      <c r="S16" s="116"/>
      <c r="T16" s="112"/>
      <c r="U16" s="21" t="s">
        <v>72</v>
      </c>
      <c r="V16" s="21"/>
      <c r="W16" s="27"/>
      <c r="X16" s="27"/>
      <c r="Y16" s="27"/>
    </row>
    <row r="17" ht="14.25" customHeight="1">
      <c r="A17" s="51">
        <v>45907.0</v>
      </c>
      <c r="B17" s="113"/>
      <c r="C17" s="119"/>
      <c r="D17" s="115"/>
      <c r="E17" s="116"/>
      <c r="F17" s="111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5"/>
      <c r="R17" s="116"/>
      <c r="S17" s="116"/>
      <c r="T17" s="112"/>
      <c r="U17" s="17" t="s">
        <v>214</v>
      </c>
      <c r="V17" s="21"/>
      <c r="W17" s="27"/>
      <c r="X17" s="27"/>
      <c r="Y17" s="27"/>
    </row>
    <row r="18" ht="14.25" customHeight="1">
      <c r="A18" s="51">
        <v>45908.0</v>
      </c>
      <c r="B18" s="118"/>
      <c r="C18" s="116"/>
      <c r="D18" s="115"/>
      <c r="E18" s="116"/>
      <c r="F18" s="111"/>
      <c r="G18" s="116"/>
      <c r="H18" s="116"/>
      <c r="I18" s="116"/>
      <c r="J18" s="116"/>
      <c r="K18" s="115"/>
      <c r="L18" s="116"/>
      <c r="M18" s="115"/>
      <c r="N18" s="116"/>
      <c r="O18" s="116"/>
      <c r="P18" s="116"/>
      <c r="Q18" s="116"/>
      <c r="R18" s="116"/>
      <c r="S18" s="116"/>
      <c r="T18" s="112"/>
      <c r="U18" s="17" t="s">
        <v>73</v>
      </c>
      <c r="V18" s="17"/>
      <c r="W18" s="27"/>
      <c r="X18" s="27"/>
      <c r="Y18" s="27"/>
    </row>
    <row r="19" ht="14.25" customHeight="1">
      <c r="A19" s="51">
        <v>45908.0</v>
      </c>
      <c r="B19" s="118"/>
      <c r="C19" s="116"/>
      <c r="D19" s="115"/>
      <c r="E19" s="116"/>
      <c r="F19" s="111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5"/>
      <c r="R19" s="116"/>
      <c r="S19" s="116"/>
      <c r="T19" s="111"/>
      <c r="U19" s="21" t="s">
        <v>215</v>
      </c>
      <c r="V19" s="17"/>
      <c r="W19" s="27"/>
      <c r="X19" s="27"/>
      <c r="Y19" s="27"/>
    </row>
    <row r="20" ht="14.25" customHeight="1">
      <c r="A20" s="51">
        <v>45909.0</v>
      </c>
      <c r="B20" s="118"/>
      <c r="C20" s="116"/>
      <c r="D20" s="115"/>
      <c r="E20" s="116"/>
      <c r="F20" s="111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5"/>
      <c r="S20" s="116"/>
      <c r="T20" s="112"/>
      <c r="U20" s="21" t="s">
        <v>216</v>
      </c>
      <c r="V20" s="17"/>
      <c r="W20" s="27"/>
      <c r="X20" s="27"/>
      <c r="Y20" s="27"/>
    </row>
    <row r="21" ht="14.25" customHeight="1">
      <c r="A21" s="51">
        <v>45909.0</v>
      </c>
      <c r="B21" s="119"/>
      <c r="C21" s="116"/>
      <c r="D21" s="115"/>
      <c r="E21" s="116"/>
      <c r="F21" s="111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2"/>
      <c r="U21" s="10" t="s">
        <v>24</v>
      </c>
      <c r="V21" s="17"/>
      <c r="W21" s="27"/>
      <c r="X21" s="27"/>
      <c r="Y21" s="27"/>
    </row>
    <row r="22" ht="14.25" customHeight="1">
      <c r="A22" s="51">
        <v>45910.0</v>
      </c>
      <c r="B22" s="118"/>
      <c r="C22" s="116"/>
      <c r="D22" s="115"/>
      <c r="E22" s="116"/>
      <c r="F22" s="111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2"/>
      <c r="U22" s="17"/>
      <c r="V22" s="21"/>
      <c r="W22" s="27"/>
      <c r="X22" s="27"/>
      <c r="Y22" s="27"/>
    </row>
    <row r="23" ht="14.25" customHeight="1">
      <c r="A23" s="51">
        <v>45910.0</v>
      </c>
      <c r="B23" s="119"/>
      <c r="C23" s="116"/>
      <c r="D23" s="115"/>
      <c r="E23" s="116"/>
      <c r="F23" s="111"/>
      <c r="G23" s="116"/>
      <c r="H23" s="115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2"/>
      <c r="U23" s="66"/>
      <c r="V23" s="21"/>
      <c r="W23" s="27"/>
      <c r="X23" s="27"/>
      <c r="Y23" s="27"/>
    </row>
    <row r="24" ht="14.25" customHeight="1">
      <c r="A24" s="51">
        <v>45911.0</v>
      </c>
      <c r="B24" s="119"/>
      <c r="C24" s="116"/>
      <c r="D24" s="115"/>
      <c r="E24" s="116"/>
      <c r="F24" s="111"/>
      <c r="G24" s="116"/>
      <c r="H24" s="116"/>
      <c r="I24" s="116"/>
      <c r="J24" s="116"/>
      <c r="K24" s="116"/>
      <c r="L24" s="116"/>
      <c r="M24" s="115"/>
      <c r="N24" s="116"/>
      <c r="O24" s="116"/>
      <c r="P24" s="116"/>
      <c r="Q24" s="116"/>
      <c r="R24" s="115"/>
      <c r="S24" s="116"/>
      <c r="T24" s="112"/>
      <c r="U24" s="17"/>
      <c r="V24" s="17"/>
      <c r="W24" s="27"/>
      <c r="X24" s="27"/>
      <c r="Y24" s="27"/>
    </row>
    <row r="25" ht="14.25" customHeight="1">
      <c r="A25" s="51">
        <v>45911.0</v>
      </c>
      <c r="B25" s="113"/>
      <c r="C25" s="116"/>
      <c r="D25" s="115"/>
      <c r="E25" s="116"/>
      <c r="F25" s="111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1"/>
      <c r="U25" s="10" t="s">
        <v>79</v>
      </c>
      <c r="V25" s="17"/>
      <c r="W25" s="27"/>
      <c r="X25" s="27"/>
      <c r="Y25" s="27"/>
    </row>
    <row r="26" ht="14.25" customHeight="1">
      <c r="A26" s="51">
        <v>45912.0</v>
      </c>
      <c r="B26" s="119"/>
      <c r="C26" s="119"/>
      <c r="D26" s="115"/>
      <c r="E26" s="116"/>
      <c r="F26" s="111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5"/>
      <c r="S26" s="116"/>
      <c r="T26" s="112"/>
      <c r="U26" s="10" t="s">
        <v>217</v>
      </c>
      <c r="W26" s="27"/>
      <c r="X26" s="27"/>
      <c r="Y26" s="27"/>
    </row>
    <row r="27" ht="14.25" customHeight="1">
      <c r="A27" s="51">
        <v>45912.0</v>
      </c>
      <c r="B27" s="119"/>
      <c r="C27" s="119"/>
      <c r="D27" s="115"/>
      <c r="E27" s="115"/>
      <c r="F27" s="111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5"/>
      <c r="R27" s="116"/>
      <c r="S27" s="116"/>
      <c r="T27" s="112"/>
      <c r="W27" s="27"/>
      <c r="X27" s="27"/>
      <c r="Y27" s="27"/>
    </row>
    <row r="28" ht="14.25" customHeight="1">
      <c r="A28" s="51">
        <v>45913.0</v>
      </c>
      <c r="B28" s="119"/>
      <c r="C28" s="120"/>
      <c r="D28" s="115"/>
      <c r="E28" s="116"/>
      <c r="F28" s="111"/>
      <c r="G28" s="115"/>
      <c r="H28" s="116"/>
      <c r="I28" s="116"/>
      <c r="J28" s="116"/>
      <c r="K28" s="116"/>
      <c r="L28" s="116"/>
      <c r="M28" s="116"/>
      <c r="N28" s="116"/>
      <c r="O28" s="116"/>
      <c r="P28" s="116"/>
      <c r="Q28" s="115"/>
      <c r="R28" s="115"/>
      <c r="S28" s="116"/>
      <c r="T28" s="112"/>
      <c r="U28" s="21" t="s">
        <v>218</v>
      </c>
      <c r="V28" s="21"/>
      <c r="W28" s="27"/>
      <c r="X28" s="27"/>
      <c r="Y28" s="27"/>
    </row>
    <row r="29" ht="14.25" customHeight="1">
      <c r="A29" s="51">
        <v>45913.0</v>
      </c>
      <c r="B29" s="118"/>
      <c r="C29" s="120"/>
      <c r="D29" s="115"/>
      <c r="E29" s="116"/>
      <c r="F29" s="111"/>
      <c r="G29" s="116"/>
      <c r="H29" s="116"/>
      <c r="I29" s="116"/>
      <c r="J29" s="116"/>
      <c r="K29" s="116"/>
      <c r="L29" s="115"/>
      <c r="M29" s="116"/>
      <c r="N29" s="116"/>
      <c r="O29" s="116"/>
      <c r="P29" s="116"/>
      <c r="Q29" s="116"/>
      <c r="R29" s="116"/>
      <c r="S29" s="116"/>
      <c r="T29" s="111"/>
      <c r="U29" s="10" t="s">
        <v>81</v>
      </c>
      <c r="V29" s="21"/>
      <c r="W29" s="27"/>
      <c r="X29" s="27"/>
      <c r="Y29" s="27"/>
    </row>
    <row r="30" ht="14.25" customHeight="1">
      <c r="A30" s="51">
        <v>45914.0</v>
      </c>
      <c r="B30" s="119"/>
      <c r="C30" s="119"/>
      <c r="D30" s="115"/>
      <c r="E30" s="116"/>
      <c r="F30" s="111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1"/>
      <c r="W30" s="27"/>
      <c r="X30" s="27"/>
      <c r="Y30" s="27"/>
    </row>
    <row r="31" ht="14.25" customHeight="1">
      <c r="A31" s="51">
        <v>45914.0</v>
      </c>
      <c r="B31" s="119"/>
      <c r="C31" s="119"/>
      <c r="D31" s="115"/>
      <c r="E31" s="116"/>
      <c r="F31" s="111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1"/>
      <c r="U31" s="21" t="s">
        <v>21</v>
      </c>
      <c r="V31" s="21"/>
      <c r="W31" s="27"/>
      <c r="X31" s="27"/>
      <c r="Y31" s="27"/>
    </row>
    <row r="32" ht="14.25" customHeight="1">
      <c r="A32" s="51">
        <v>45915.0</v>
      </c>
      <c r="B32" s="118"/>
      <c r="C32" s="116"/>
      <c r="D32" s="115"/>
      <c r="E32" s="116"/>
      <c r="F32" s="111"/>
      <c r="G32" s="116"/>
      <c r="H32" s="116"/>
      <c r="I32" s="116"/>
      <c r="J32" s="116"/>
      <c r="K32" s="115"/>
      <c r="L32" s="116"/>
      <c r="M32" s="116"/>
      <c r="N32" s="116"/>
      <c r="O32" s="116"/>
      <c r="P32" s="116"/>
      <c r="Q32" s="116"/>
      <c r="R32" s="116"/>
      <c r="S32" s="116"/>
      <c r="T32" s="111"/>
      <c r="U32" s="10" t="s">
        <v>219</v>
      </c>
      <c r="V32" s="21"/>
      <c r="W32" s="27"/>
      <c r="X32" s="27"/>
      <c r="Y32" s="27"/>
    </row>
    <row r="33" ht="14.25" customHeight="1">
      <c r="A33" s="51">
        <v>45915.0</v>
      </c>
      <c r="B33" s="118"/>
      <c r="C33" s="116"/>
      <c r="D33" s="115"/>
      <c r="E33" s="115"/>
      <c r="F33" s="111"/>
      <c r="G33" s="116"/>
      <c r="H33" s="115"/>
      <c r="I33" s="115"/>
      <c r="J33" s="116"/>
      <c r="K33" s="116"/>
      <c r="L33" s="116"/>
      <c r="M33" s="116"/>
      <c r="N33" s="116"/>
      <c r="O33" s="116"/>
      <c r="P33" s="116"/>
      <c r="Q33" s="115"/>
      <c r="R33" s="116"/>
      <c r="S33" s="116"/>
      <c r="T33" s="111"/>
      <c r="U33" s="21" t="s">
        <v>220</v>
      </c>
      <c r="W33" s="27"/>
      <c r="X33" s="27"/>
      <c r="Y33" s="27"/>
    </row>
    <row r="34" ht="14.25" customHeight="1">
      <c r="A34" s="51">
        <v>45916.0</v>
      </c>
      <c r="B34" s="118"/>
      <c r="C34" s="116"/>
      <c r="D34" s="115"/>
      <c r="E34" s="116"/>
      <c r="F34" s="111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1"/>
      <c r="U34" s="21" t="s">
        <v>84</v>
      </c>
      <c r="W34" s="27"/>
      <c r="X34" s="27"/>
      <c r="Y34" s="27"/>
    </row>
    <row r="35" ht="14.25" customHeight="1">
      <c r="A35" s="51">
        <v>45916.0</v>
      </c>
      <c r="B35" s="118"/>
      <c r="C35" s="116"/>
      <c r="D35" s="115"/>
      <c r="E35" s="116"/>
      <c r="F35" s="111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1"/>
      <c r="U35" s="10" t="s">
        <v>85</v>
      </c>
      <c r="W35" s="27"/>
      <c r="X35" s="27"/>
      <c r="Y35" s="27"/>
    </row>
    <row r="36" ht="14.25" customHeight="1">
      <c r="A36" s="51">
        <v>45917.0</v>
      </c>
      <c r="B36" s="118"/>
      <c r="C36" s="116"/>
      <c r="D36" s="115"/>
      <c r="E36" s="116"/>
      <c r="F36" s="111"/>
      <c r="G36" s="116"/>
      <c r="H36" s="116"/>
      <c r="I36" s="116"/>
      <c r="J36" s="116"/>
      <c r="K36" s="116"/>
      <c r="L36" s="116"/>
      <c r="M36" s="115"/>
      <c r="N36" s="116"/>
      <c r="O36" s="116"/>
      <c r="P36" s="116"/>
      <c r="Q36" s="116"/>
      <c r="R36" s="115"/>
      <c r="S36" s="116"/>
      <c r="T36" s="111"/>
      <c r="W36" s="27"/>
      <c r="X36" s="27"/>
      <c r="Y36" s="27"/>
    </row>
    <row r="37" ht="14.25" customHeight="1">
      <c r="A37" s="51">
        <v>45917.0</v>
      </c>
      <c r="B37" s="119"/>
      <c r="C37" s="116"/>
      <c r="D37" s="115"/>
      <c r="E37" s="116"/>
      <c r="F37" s="111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1"/>
      <c r="U37" s="10" t="s">
        <v>221</v>
      </c>
      <c r="W37" s="27"/>
      <c r="X37" s="27"/>
      <c r="Y37" s="27"/>
    </row>
    <row r="38" ht="14.25" customHeight="1">
      <c r="A38" s="51">
        <v>45918.0</v>
      </c>
      <c r="B38" s="113"/>
      <c r="C38" s="115"/>
      <c r="D38" s="115"/>
      <c r="E38" s="116"/>
      <c r="F38" s="111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5"/>
      <c r="S38" s="116"/>
      <c r="T38" s="111"/>
      <c r="U38" s="21" t="s">
        <v>222</v>
      </c>
      <c r="W38" s="27"/>
      <c r="X38" s="27"/>
      <c r="Y38" s="27"/>
    </row>
    <row r="39" ht="14.25" customHeight="1">
      <c r="A39" s="51">
        <v>45918.0</v>
      </c>
      <c r="B39" s="113"/>
      <c r="C39" s="116"/>
      <c r="D39" s="115"/>
      <c r="E39" s="115"/>
      <c r="F39" s="111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1"/>
      <c r="U39" s="10" t="s">
        <v>223</v>
      </c>
      <c r="W39" s="27"/>
      <c r="X39" s="27"/>
      <c r="Y39" s="27"/>
    </row>
    <row r="40" ht="14.25" customHeight="1">
      <c r="A40" s="51">
        <v>45919.0</v>
      </c>
      <c r="B40" s="113"/>
      <c r="C40" s="115"/>
      <c r="D40" s="115"/>
      <c r="E40" s="116"/>
      <c r="F40" s="111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1"/>
      <c r="U40" s="10" t="s">
        <v>99</v>
      </c>
      <c r="W40" s="27"/>
      <c r="X40" s="27"/>
      <c r="Y40" s="27"/>
    </row>
    <row r="41" ht="14.25" customHeight="1">
      <c r="A41" s="51">
        <v>45919.0</v>
      </c>
      <c r="B41" s="113"/>
      <c r="C41" s="116"/>
      <c r="D41" s="115"/>
      <c r="E41" s="116"/>
      <c r="F41" s="111"/>
      <c r="G41" s="116"/>
      <c r="H41" s="116"/>
      <c r="I41" s="116"/>
      <c r="J41" s="116"/>
      <c r="K41" s="116"/>
      <c r="L41" s="115"/>
      <c r="M41" s="116"/>
      <c r="N41" s="116"/>
      <c r="O41" s="116"/>
      <c r="P41" s="116"/>
      <c r="Q41" s="115"/>
      <c r="R41" s="116"/>
      <c r="S41" s="116"/>
      <c r="T41" s="111"/>
      <c r="W41" s="27"/>
      <c r="X41" s="27"/>
      <c r="Y41" s="27"/>
    </row>
    <row r="42" ht="14.25" customHeight="1">
      <c r="A42" s="51">
        <v>45920.0</v>
      </c>
      <c r="B42" s="121"/>
      <c r="C42" s="116"/>
      <c r="D42" s="115"/>
      <c r="E42" s="116"/>
      <c r="F42" s="111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5"/>
      <c r="S42" s="116"/>
      <c r="T42" s="111"/>
      <c r="U42" s="21" t="s">
        <v>88</v>
      </c>
      <c r="W42" s="27"/>
      <c r="X42" s="27"/>
      <c r="Y42" s="27"/>
    </row>
    <row r="43" ht="14.25" customHeight="1">
      <c r="A43" s="51">
        <v>45920.0</v>
      </c>
      <c r="B43" s="121"/>
      <c r="C43" s="116"/>
      <c r="D43" s="115"/>
      <c r="E43" s="116"/>
      <c r="F43" s="111"/>
      <c r="G43" s="116"/>
      <c r="H43" s="116"/>
      <c r="I43" s="116"/>
      <c r="J43" s="116"/>
      <c r="K43" s="116"/>
      <c r="L43" s="115"/>
      <c r="M43" s="116"/>
      <c r="N43" s="116"/>
      <c r="O43" s="116"/>
      <c r="P43" s="116"/>
      <c r="Q43" s="116"/>
      <c r="R43" s="116"/>
      <c r="S43" s="116"/>
      <c r="T43" s="111"/>
      <c r="W43" s="27"/>
      <c r="X43" s="27"/>
      <c r="Y43" s="27"/>
    </row>
    <row r="44" ht="14.25" customHeight="1">
      <c r="A44" s="51">
        <v>45921.0</v>
      </c>
      <c r="B44" s="119"/>
      <c r="C44" s="119"/>
      <c r="D44" s="120"/>
      <c r="E44" s="119"/>
      <c r="F44" s="122"/>
      <c r="G44" s="119"/>
      <c r="H44" s="116"/>
      <c r="I44" s="116"/>
      <c r="J44" s="119"/>
      <c r="K44" s="116"/>
      <c r="L44" s="119"/>
      <c r="M44" s="116"/>
      <c r="N44" s="119"/>
      <c r="O44" s="119"/>
      <c r="P44" s="119"/>
      <c r="Q44" s="119"/>
      <c r="R44" s="116"/>
      <c r="S44" s="119"/>
      <c r="T44" s="122"/>
      <c r="U44" s="21"/>
    </row>
    <row r="45" ht="14.25" customHeight="1">
      <c r="A45" s="51">
        <v>45921.0</v>
      </c>
      <c r="B45" s="118"/>
      <c r="C45" s="119"/>
      <c r="D45" s="120"/>
      <c r="E45" s="119"/>
      <c r="F45" s="122"/>
      <c r="G45" s="120"/>
      <c r="H45" s="116"/>
      <c r="I45" s="116"/>
      <c r="J45" s="119"/>
      <c r="K45" s="116"/>
      <c r="L45" s="119"/>
      <c r="M45" s="116"/>
      <c r="N45" s="119"/>
      <c r="O45" s="119"/>
      <c r="P45" s="119"/>
      <c r="Q45" s="119"/>
      <c r="R45" s="116"/>
      <c r="S45" s="119"/>
      <c r="T45" s="122"/>
    </row>
    <row r="46" ht="14.25" customHeight="1">
      <c r="A46" s="51">
        <v>45922.0</v>
      </c>
      <c r="B46" s="119"/>
      <c r="C46" s="119"/>
      <c r="D46" s="120"/>
      <c r="E46" s="119"/>
      <c r="F46" s="122"/>
      <c r="G46" s="119"/>
      <c r="H46" s="116"/>
      <c r="I46" s="116"/>
      <c r="J46" s="119"/>
      <c r="K46" s="116"/>
      <c r="L46" s="119"/>
      <c r="M46" s="116"/>
      <c r="N46" s="119"/>
      <c r="O46" s="119"/>
      <c r="P46" s="119"/>
      <c r="Q46" s="119"/>
      <c r="R46" s="116"/>
      <c r="S46" s="119"/>
      <c r="T46" s="122"/>
      <c r="U46" s="21"/>
    </row>
    <row r="47" ht="14.25" customHeight="1">
      <c r="A47" s="51">
        <v>45922.0</v>
      </c>
      <c r="B47" s="118"/>
      <c r="C47" s="120"/>
      <c r="D47" s="120"/>
      <c r="E47" s="119"/>
      <c r="F47" s="122"/>
      <c r="G47" s="119"/>
      <c r="H47" s="116"/>
      <c r="I47" s="116"/>
      <c r="J47" s="119"/>
      <c r="K47" s="116"/>
      <c r="L47" s="119"/>
      <c r="M47" s="116"/>
      <c r="N47" s="119"/>
      <c r="O47" s="119"/>
      <c r="P47" s="119"/>
      <c r="Q47" s="119"/>
      <c r="R47" s="116"/>
      <c r="S47" s="119"/>
      <c r="T47" s="122"/>
    </row>
    <row r="48" ht="14.25" customHeight="1">
      <c r="A48" s="51">
        <v>45923.0</v>
      </c>
      <c r="B48" s="119"/>
      <c r="C48" s="119"/>
      <c r="D48" s="120"/>
      <c r="E48" s="119"/>
      <c r="F48" s="122"/>
      <c r="G48" s="119"/>
      <c r="H48" s="116"/>
      <c r="I48" s="116"/>
      <c r="J48" s="119"/>
      <c r="K48" s="116"/>
      <c r="L48" s="119"/>
      <c r="M48" s="116"/>
      <c r="N48" s="119"/>
      <c r="O48" s="119"/>
      <c r="P48" s="119"/>
      <c r="Q48" s="119"/>
      <c r="R48" s="116"/>
      <c r="S48" s="119"/>
      <c r="T48" s="122"/>
      <c r="U48" s="14"/>
    </row>
    <row r="49" ht="14.25" customHeight="1">
      <c r="A49" s="51">
        <v>45923.0</v>
      </c>
      <c r="B49" s="119"/>
      <c r="C49" s="119"/>
      <c r="D49" s="120"/>
      <c r="E49" s="119"/>
      <c r="F49" s="122"/>
      <c r="G49" s="119"/>
      <c r="H49" s="116"/>
      <c r="I49" s="116"/>
      <c r="J49" s="119"/>
      <c r="K49" s="116"/>
      <c r="L49" s="119"/>
      <c r="M49" s="116"/>
      <c r="N49" s="119"/>
      <c r="O49" s="119"/>
      <c r="P49" s="119"/>
      <c r="Q49" s="119"/>
      <c r="R49" s="116"/>
      <c r="S49" s="119"/>
      <c r="T49" s="122"/>
      <c r="U49" s="14"/>
    </row>
    <row r="50" ht="14.25" customHeight="1">
      <c r="A50" s="51">
        <v>45924.0</v>
      </c>
      <c r="B50" s="119"/>
      <c r="C50" s="119"/>
      <c r="D50" s="120"/>
      <c r="E50" s="119"/>
      <c r="F50" s="122"/>
      <c r="G50" s="119"/>
      <c r="H50" s="116"/>
      <c r="I50" s="116"/>
      <c r="J50" s="119"/>
      <c r="K50" s="116"/>
      <c r="L50" s="119"/>
      <c r="M50" s="116"/>
      <c r="N50" s="119"/>
      <c r="O50" s="119"/>
      <c r="P50" s="119"/>
      <c r="Q50" s="119"/>
      <c r="R50" s="116"/>
      <c r="S50" s="119"/>
      <c r="T50" s="122"/>
    </row>
    <row r="51" ht="14.25" customHeight="1">
      <c r="A51" s="51">
        <v>45924.0</v>
      </c>
      <c r="B51" s="119"/>
      <c r="C51" s="119"/>
      <c r="D51" s="120"/>
      <c r="E51" s="119"/>
      <c r="F51" s="122"/>
      <c r="G51" s="119"/>
      <c r="H51" s="116"/>
      <c r="I51" s="116"/>
      <c r="J51" s="119"/>
      <c r="K51" s="116"/>
      <c r="L51" s="119"/>
      <c r="M51" s="115"/>
      <c r="N51" s="119"/>
      <c r="O51" s="119"/>
      <c r="P51" s="119"/>
      <c r="Q51" s="119"/>
      <c r="R51" s="116"/>
      <c r="S51" s="119"/>
      <c r="T51" s="122"/>
    </row>
    <row r="52" ht="14.25" customHeight="1">
      <c r="A52" s="51">
        <v>45925.0</v>
      </c>
      <c r="B52" s="119"/>
      <c r="C52" s="119"/>
      <c r="D52" s="120"/>
      <c r="E52" s="119"/>
      <c r="F52" s="122"/>
      <c r="G52" s="119"/>
      <c r="H52" s="116"/>
      <c r="I52" s="116"/>
      <c r="J52" s="119"/>
      <c r="K52" s="116"/>
      <c r="L52" s="119"/>
      <c r="M52" s="116"/>
      <c r="N52" s="119"/>
      <c r="O52" s="119"/>
      <c r="P52" s="119"/>
      <c r="Q52" s="119"/>
      <c r="R52" s="116"/>
      <c r="S52" s="119"/>
      <c r="T52" s="122"/>
    </row>
    <row r="53" ht="14.25" customHeight="1">
      <c r="A53" s="51">
        <v>45925.0</v>
      </c>
      <c r="B53" s="119"/>
      <c r="C53" s="119"/>
      <c r="D53" s="120"/>
      <c r="E53" s="119"/>
      <c r="F53" s="122"/>
      <c r="G53" s="119"/>
      <c r="H53" s="116"/>
      <c r="I53" s="116"/>
      <c r="J53" s="119"/>
      <c r="K53" s="116"/>
      <c r="L53" s="119"/>
      <c r="M53" s="116"/>
      <c r="N53" s="119"/>
      <c r="O53" s="119"/>
      <c r="P53" s="119"/>
      <c r="Q53" s="120"/>
      <c r="R53" s="115"/>
      <c r="S53" s="119"/>
      <c r="T53" s="122"/>
      <c r="U53" s="122"/>
    </row>
    <row r="54" ht="14.25" customHeight="1">
      <c r="A54" s="51">
        <v>45926.0</v>
      </c>
      <c r="B54" s="119"/>
      <c r="C54" s="119"/>
      <c r="D54" s="120"/>
      <c r="E54" s="119"/>
      <c r="F54" s="122"/>
      <c r="G54" s="119"/>
      <c r="H54" s="116"/>
      <c r="I54" s="116"/>
      <c r="J54" s="119"/>
      <c r="K54" s="116"/>
      <c r="L54" s="119"/>
      <c r="M54" s="116"/>
      <c r="N54" s="119"/>
      <c r="O54" s="119"/>
      <c r="P54" s="119"/>
      <c r="Q54" s="119"/>
      <c r="R54" s="116"/>
      <c r="S54" s="119"/>
      <c r="T54" s="122"/>
      <c r="U54" s="122"/>
    </row>
    <row r="55" ht="14.25" customHeight="1">
      <c r="A55" s="51">
        <v>45926.0</v>
      </c>
      <c r="B55" s="119"/>
      <c r="C55" s="120"/>
      <c r="D55" s="120"/>
      <c r="E55" s="119"/>
      <c r="F55" s="122"/>
      <c r="G55" s="119"/>
      <c r="H55" s="116"/>
      <c r="I55" s="116"/>
      <c r="J55" s="119"/>
      <c r="K55" s="116"/>
      <c r="L55" s="120"/>
      <c r="M55" s="116"/>
      <c r="N55" s="120"/>
      <c r="O55" s="119"/>
      <c r="P55" s="119"/>
      <c r="Q55" s="119"/>
      <c r="R55" s="116"/>
      <c r="S55" s="119"/>
      <c r="T55" s="122"/>
      <c r="U55" s="122"/>
    </row>
    <row r="56" ht="14.25" customHeight="1">
      <c r="A56" s="51">
        <v>45927.0</v>
      </c>
      <c r="B56" s="119"/>
      <c r="C56" s="119"/>
      <c r="D56" s="120"/>
      <c r="E56" s="119"/>
      <c r="F56" s="122"/>
      <c r="G56" s="119"/>
      <c r="H56" s="116"/>
      <c r="I56" s="116"/>
      <c r="J56" s="119"/>
      <c r="K56" s="116"/>
      <c r="L56" s="119"/>
      <c r="M56" s="116"/>
      <c r="N56" s="119"/>
      <c r="O56" s="119"/>
      <c r="P56" s="119"/>
      <c r="Q56" s="119"/>
      <c r="R56" s="116"/>
      <c r="S56" s="119"/>
      <c r="T56" s="122"/>
      <c r="U56" s="122"/>
    </row>
    <row r="57" ht="14.25" customHeight="1">
      <c r="A57" s="51">
        <v>45927.0</v>
      </c>
      <c r="B57" s="119"/>
      <c r="C57" s="119"/>
      <c r="D57" s="120"/>
      <c r="E57" s="119"/>
      <c r="F57" s="122"/>
      <c r="G57" s="119"/>
      <c r="H57" s="116"/>
      <c r="I57" s="115"/>
      <c r="J57" s="119"/>
      <c r="K57" s="115"/>
      <c r="L57" s="119"/>
      <c r="M57" s="116"/>
      <c r="N57" s="119"/>
      <c r="O57" s="119"/>
      <c r="P57" s="119"/>
      <c r="Q57" s="119"/>
      <c r="R57" s="116"/>
      <c r="S57" s="119"/>
      <c r="T57" s="122"/>
      <c r="U57" s="122"/>
    </row>
    <row r="58" ht="14.25" customHeight="1">
      <c r="A58" s="51">
        <v>45928.0</v>
      </c>
      <c r="B58" s="118"/>
      <c r="C58" s="119"/>
      <c r="D58" s="119"/>
      <c r="E58" s="119"/>
      <c r="F58" s="122"/>
      <c r="G58" s="119"/>
      <c r="H58" s="115"/>
      <c r="I58" s="116"/>
      <c r="J58" s="119"/>
      <c r="K58" s="119"/>
      <c r="L58" s="119"/>
      <c r="M58" s="115"/>
      <c r="N58" s="119"/>
      <c r="O58" s="119"/>
      <c r="P58" s="119"/>
      <c r="Q58" s="119"/>
      <c r="R58" s="116"/>
      <c r="S58" s="119"/>
      <c r="T58" s="122"/>
      <c r="U58" s="122"/>
    </row>
    <row r="59" ht="14.25" customHeight="1">
      <c r="A59" s="51">
        <v>45928.0</v>
      </c>
      <c r="B59" s="119"/>
      <c r="C59" s="120"/>
      <c r="D59" s="120"/>
      <c r="E59" s="119"/>
      <c r="F59" s="122"/>
      <c r="G59" s="120"/>
      <c r="H59" s="116"/>
      <c r="I59" s="116"/>
      <c r="J59" s="119"/>
      <c r="K59" s="119"/>
      <c r="L59" s="120"/>
      <c r="M59" s="115"/>
      <c r="N59" s="119"/>
      <c r="O59" s="119"/>
      <c r="P59" s="119"/>
      <c r="Q59" s="119"/>
      <c r="R59" s="116"/>
      <c r="S59" s="119"/>
      <c r="T59" s="122"/>
      <c r="U59" s="122"/>
    </row>
    <row r="60" ht="14.25" customHeight="1">
      <c r="A60" s="51">
        <v>45929.0</v>
      </c>
      <c r="B60" s="119"/>
      <c r="C60" s="120"/>
      <c r="D60" s="120"/>
      <c r="E60" s="119"/>
      <c r="F60" s="122"/>
      <c r="G60" s="119"/>
      <c r="H60" s="116"/>
      <c r="I60" s="119"/>
      <c r="J60" s="119"/>
      <c r="K60" s="119"/>
      <c r="L60" s="119"/>
      <c r="M60" s="116"/>
      <c r="N60" s="119"/>
      <c r="O60" s="119"/>
      <c r="P60" s="119"/>
      <c r="Q60" s="119"/>
      <c r="R60" s="116"/>
      <c r="S60" s="119"/>
      <c r="T60" s="122"/>
      <c r="U60" s="122"/>
    </row>
    <row r="61" ht="14.25" customHeight="1">
      <c r="A61" s="51">
        <v>45929.0</v>
      </c>
      <c r="B61" s="119"/>
      <c r="C61" s="119"/>
      <c r="D61" s="120"/>
      <c r="E61" s="120"/>
      <c r="F61" s="122"/>
      <c r="G61" s="119"/>
      <c r="H61" s="116"/>
      <c r="I61" s="119"/>
      <c r="J61" s="119"/>
      <c r="K61" s="119"/>
      <c r="L61" s="119"/>
      <c r="M61" s="116"/>
      <c r="N61" s="119"/>
      <c r="O61" s="119"/>
      <c r="P61" s="119"/>
      <c r="Q61" s="119"/>
      <c r="R61" s="116"/>
      <c r="S61" s="119"/>
      <c r="T61" s="122"/>
      <c r="U61" s="122"/>
    </row>
    <row r="62" ht="14.25" customHeight="1">
      <c r="A62" s="51">
        <v>45930.0</v>
      </c>
      <c r="B62" s="119"/>
      <c r="C62" s="120"/>
      <c r="D62" s="120"/>
      <c r="E62" s="119"/>
      <c r="F62" s="122"/>
      <c r="G62" s="119"/>
      <c r="H62" s="115"/>
      <c r="I62" s="119"/>
      <c r="J62" s="119"/>
      <c r="K62" s="119"/>
      <c r="L62" s="119"/>
      <c r="M62" s="115"/>
      <c r="N62" s="119"/>
      <c r="O62" s="119"/>
      <c r="P62" s="119"/>
      <c r="Q62" s="119"/>
      <c r="R62" s="116"/>
      <c r="S62" s="119"/>
      <c r="T62" s="122"/>
      <c r="U62" s="122"/>
    </row>
    <row r="63" ht="14.25" customHeight="1">
      <c r="A63" s="51">
        <v>45930.0</v>
      </c>
      <c r="B63" s="119"/>
      <c r="C63" s="120"/>
      <c r="D63" s="120"/>
      <c r="E63" s="119"/>
      <c r="F63" s="122"/>
      <c r="G63" s="119"/>
      <c r="H63" s="116"/>
      <c r="I63" s="119"/>
      <c r="J63" s="119"/>
      <c r="K63" s="119"/>
      <c r="L63" s="120"/>
      <c r="M63" s="115"/>
      <c r="N63" s="119"/>
      <c r="O63" s="119"/>
      <c r="P63" s="119"/>
      <c r="Q63" s="119"/>
      <c r="R63" s="115"/>
      <c r="S63" s="119"/>
      <c r="T63" s="122"/>
      <c r="U63" s="122"/>
    </row>
    <row r="64" ht="14.25" customHeight="1">
      <c r="A64" s="82" t="s">
        <v>224</v>
      </c>
      <c r="B64" s="119"/>
      <c r="C64" s="119"/>
      <c r="D64" s="120"/>
      <c r="E64" s="119"/>
      <c r="F64" s="122"/>
      <c r="G64" s="119"/>
      <c r="H64" s="115"/>
      <c r="I64" s="119"/>
      <c r="J64" s="119"/>
      <c r="K64" s="119"/>
      <c r="L64" s="119"/>
      <c r="M64" s="119"/>
      <c r="N64" s="119"/>
      <c r="O64" s="119"/>
      <c r="P64" s="119"/>
      <c r="Q64" s="119"/>
      <c r="R64" s="116"/>
      <c r="S64" s="119"/>
      <c r="T64" s="122"/>
      <c r="U64" s="122"/>
    </row>
    <row r="65" ht="14.25" customHeight="1">
      <c r="A65" s="93" t="s">
        <v>224</v>
      </c>
      <c r="B65" s="123"/>
      <c r="C65" s="123"/>
      <c r="D65" s="124"/>
      <c r="E65" s="123"/>
      <c r="F65" s="125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6"/>
      <c r="S65" s="123"/>
      <c r="T65" s="122"/>
      <c r="U65" s="122"/>
    </row>
    <row r="66" ht="14.25" customHeight="1">
      <c r="A66" s="86" t="s">
        <v>47</v>
      </c>
      <c r="B66" s="87"/>
      <c r="C66" s="87">
        <f>SUM(C4:C65)</f>
        <v>0</v>
      </c>
      <c r="D66" s="87">
        <f t="shared" ref="D66:T66" si="1">SUM(D3:D65)</f>
        <v>0</v>
      </c>
      <c r="E66" s="87">
        <f t="shared" si="1"/>
        <v>0</v>
      </c>
      <c r="F66" s="87">
        <f t="shared" si="1"/>
        <v>0</v>
      </c>
      <c r="G66" s="87">
        <f t="shared" si="1"/>
        <v>0</v>
      </c>
      <c r="H66" s="87">
        <f t="shared" si="1"/>
        <v>0</v>
      </c>
      <c r="I66" s="127">
        <f t="shared" si="1"/>
        <v>0</v>
      </c>
      <c r="J66" s="87">
        <f t="shared" si="1"/>
        <v>0</v>
      </c>
      <c r="K66" s="87">
        <f t="shared" si="1"/>
        <v>0</v>
      </c>
      <c r="L66" s="127">
        <f t="shared" si="1"/>
        <v>0</v>
      </c>
      <c r="M66" s="127">
        <f t="shared" si="1"/>
        <v>0</v>
      </c>
      <c r="N66" s="127">
        <f t="shared" si="1"/>
        <v>0</v>
      </c>
      <c r="O66" s="87">
        <f t="shared" si="1"/>
        <v>0</v>
      </c>
      <c r="P66" s="87">
        <f t="shared" si="1"/>
        <v>0</v>
      </c>
      <c r="Q66" s="87">
        <f t="shared" si="1"/>
        <v>0</v>
      </c>
      <c r="R66" s="127">
        <f t="shared" si="1"/>
        <v>0</v>
      </c>
      <c r="S66" s="87">
        <f t="shared" si="1"/>
        <v>0</v>
      </c>
      <c r="T66" s="75">
        <f t="shared" si="1"/>
        <v>0</v>
      </c>
      <c r="U66" s="128"/>
      <c r="V66" s="45"/>
      <c r="W66" s="45"/>
      <c r="X66" s="45"/>
      <c r="Y66" s="45"/>
    </row>
    <row r="67" ht="14.25" customHeight="1">
      <c r="A67" s="89"/>
      <c r="R67" s="111"/>
    </row>
    <row r="68" ht="14.25" customHeight="1">
      <c r="A68" s="89"/>
      <c r="B68" s="14"/>
      <c r="C68" s="14"/>
      <c r="D68" s="14"/>
      <c r="L68" s="106"/>
      <c r="R68" s="111"/>
    </row>
    <row r="69" ht="14.25" customHeight="1">
      <c r="A69" s="89"/>
      <c r="B69" s="14"/>
      <c r="C69" s="14"/>
      <c r="D69" s="14"/>
    </row>
    <row r="70" ht="14.25" customHeight="1">
      <c r="A70" s="89"/>
      <c r="B70" s="14"/>
      <c r="C70" s="14"/>
      <c r="D70" s="14"/>
    </row>
    <row r="71" ht="14.25" customHeight="1">
      <c r="A71" s="89"/>
      <c r="B71" s="14"/>
      <c r="C71" s="14"/>
      <c r="D71" s="14"/>
    </row>
    <row r="72" ht="14.25" customHeight="1">
      <c r="A72" s="89"/>
      <c r="B72" s="14"/>
      <c r="C72" s="14"/>
      <c r="D72" s="14"/>
    </row>
    <row r="73" ht="14.25" customHeight="1">
      <c r="A73" s="89"/>
      <c r="B73" s="14"/>
      <c r="C73" s="14"/>
      <c r="D73" s="14"/>
    </row>
    <row r="74" ht="14.25" customHeight="1">
      <c r="A74" s="89"/>
      <c r="B74" s="14"/>
      <c r="C74" s="14"/>
      <c r="D74" s="14"/>
    </row>
    <row r="75" ht="14.25" customHeight="1">
      <c r="A75" s="89"/>
    </row>
    <row r="76" ht="14.25" customHeight="1">
      <c r="A76" s="89"/>
    </row>
    <row r="77" ht="14.25" customHeight="1">
      <c r="A77" s="89"/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4.25" customHeight="1">
      <c r="A265" s="89"/>
    </row>
    <row r="266" ht="14.25" customHeight="1">
      <c r="A266" s="89"/>
    </row>
    <row r="267" ht="15.75" customHeight="1">
      <c r="A267" s="89"/>
    </row>
    <row r="268" ht="15.75" customHeight="1">
      <c r="A268" s="89"/>
    </row>
    <row r="269" ht="15.75" customHeight="1">
      <c r="A269" s="89"/>
    </row>
    <row r="270" ht="15.75" customHeight="1">
      <c r="A270" s="89"/>
    </row>
    <row r="271" ht="15.7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  <row r="971" ht="15.75" customHeight="1">
      <c r="A971" s="89"/>
    </row>
    <row r="972" ht="15.75" customHeight="1">
      <c r="A972" s="89"/>
    </row>
    <row r="973" ht="15.75" customHeight="1">
      <c r="A973" s="89"/>
    </row>
    <row r="974" ht="15.75" customHeight="1">
      <c r="A974" s="89"/>
    </row>
    <row r="975" ht="15.75" customHeight="1">
      <c r="A975" s="89"/>
    </row>
    <row r="976" ht="15.75" customHeight="1">
      <c r="A976" s="89"/>
    </row>
    <row r="977" ht="15.75" customHeight="1">
      <c r="A977" s="89"/>
    </row>
    <row r="978" ht="15.75" customHeight="1">
      <c r="A978" s="89"/>
    </row>
    <row r="979" ht="15.75" customHeight="1">
      <c r="A979" s="89"/>
    </row>
    <row r="980" ht="15.75" customHeight="1">
      <c r="A980" s="89"/>
    </row>
    <row r="981" ht="15.75" customHeight="1">
      <c r="A981" s="89"/>
    </row>
    <row r="982" ht="15.75" customHeight="1">
      <c r="A982" s="89"/>
    </row>
    <row r="983" ht="15.75" customHeight="1">
      <c r="A983" s="89"/>
    </row>
    <row r="984" ht="15.75" customHeight="1">
      <c r="A984" s="89"/>
    </row>
    <row r="985" ht="15.75" customHeight="1">
      <c r="A985" s="89"/>
    </row>
    <row r="986" ht="15.75" customHeight="1">
      <c r="A986" s="89"/>
    </row>
    <row r="987" ht="15.75" customHeight="1">
      <c r="A987" s="89"/>
    </row>
    <row r="988" ht="15.75" customHeight="1">
      <c r="A988" s="89"/>
    </row>
    <row r="989" ht="15.75" customHeight="1">
      <c r="A989" s="89"/>
    </row>
    <row r="990" ht="15.75" customHeight="1">
      <c r="A990" s="89"/>
    </row>
    <row r="991" ht="15.75" customHeight="1">
      <c r="A991" s="89"/>
    </row>
    <row r="992" ht="15.75" customHeight="1">
      <c r="A992" s="89"/>
    </row>
    <row r="993" ht="15.75" customHeight="1">
      <c r="A993" s="89"/>
    </row>
    <row r="994" ht="15.75" customHeight="1">
      <c r="A994" s="89"/>
    </row>
    <row r="995" ht="15.75" customHeight="1">
      <c r="A995" s="89"/>
    </row>
    <row r="996" ht="15.75" customHeight="1">
      <c r="A996" s="89"/>
    </row>
    <row r="997" ht="15.75" customHeight="1">
      <c r="A997" s="89"/>
    </row>
    <row r="998" ht="15.75" customHeight="1">
      <c r="A998" s="89"/>
    </row>
    <row r="999" ht="15.75" customHeight="1">
      <c r="A999" s="89"/>
    </row>
    <row r="1000" ht="15.75" customHeight="1">
      <c r="A1000" s="89"/>
    </row>
  </sheetData>
  <mergeCells count="3">
    <mergeCell ref="B1:C1"/>
    <mergeCell ref="H1:S1"/>
    <mergeCell ref="U1:V1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2021-04-04T10:46:00Z</dcterms:created>
  <dc:creator>Юлія Кірсанова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2980E91A933F43A4A5C10FBC23A83F2A</vt:lpwstr>
  </property>
  <property fmtid="{D5CDD505-2E9C-101B-9397-08002B2CF9AE}" pid="3" name="KSOProductBuildVer">
    <vt:lpwstr>1033-12.2.0.13266</vt:lpwstr>
  </property>
</Properties>
</file>